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0" windowWidth="15200" windowHeight="4587" activeTab="0"/>
  </bookViews>
  <sheets>
    <sheet name="Sat-Sichtbarkeit" sheetId="1" r:id="rId1"/>
    <sheet name="Sat.Koordinate" sheetId="2" r:id="rId2"/>
    <sheet name="Sat_1" sheetId="3" r:id="rId3"/>
    <sheet name="Sat_2" sheetId="4" r:id="rId4"/>
    <sheet name="Sat_3" sheetId="5" r:id="rId5"/>
    <sheet name="Subpunkt" sheetId="6" r:id="rId6"/>
    <sheet name="Almanach" sheetId="7" r:id="rId7"/>
  </sheets>
  <definedNames>
    <definedName name="rho">'Sat-Sichtbarkeit'!$J$9</definedName>
  </definedNames>
  <calcPr fullCalcOnLoad="1"/>
</workbook>
</file>

<file path=xl/sharedStrings.xml><?xml version="1.0" encoding="utf-8"?>
<sst xmlns="http://schemas.openxmlformats.org/spreadsheetml/2006/main" count="342" uniqueCount="126">
  <si>
    <t>Mittlere Anomalie</t>
  </si>
  <si>
    <t>Exzentrizität der Bahnellipse</t>
  </si>
  <si>
    <t>Bahnneigung zur Referenzzeit</t>
  </si>
  <si>
    <t>Argument des Perigäums</t>
  </si>
  <si>
    <t>Zeitliche Änderung der Rektaszension des aufsteigenden Knotens</t>
  </si>
  <si>
    <t>Referenzzeit für die Ephemeriden</t>
  </si>
  <si>
    <r>
      <t>M</t>
    </r>
    <r>
      <rPr>
        <vertAlign val="subscript"/>
        <sz val="10"/>
        <rFont val="Arial"/>
        <family val="2"/>
      </rPr>
      <t>0</t>
    </r>
  </si>
  <si>
    <t>e</t>
  </si>
  <si>
    <t>Parameter für die Rektaszension des aufsteigenden Körpers</t>
  </si>
  <si>
    <r>
      <t>W</t>
    </r>
    <r>
      <rPr>
        <vertAlign val="subscript"/>
        <sz val="10"/>
        <rFont val="Arial"/>
        <family val="2"/>
      </rPr>
      <t>0</t>
    </r>
  </si>
  <si>
    <r>
      <t>i</t>
    </r>
    <r>
      <rPr>
        <vertAlign val="subscript"/>
        <sz val="10"/>
        <rFont val="Arial"/>
        <family val="2"/>
      </rPr>
      <t>0</t>
    </r>
  </si>
  <si>
    <t>w</t>
  </si>
  <si>
    <t>t(r)</t>
  </si>
  <si>
    <t>Zeitdifferenz zwischen Beobachtungszeit und Referenzzeit</t>
  </si>
  <si>
    <r>
      <t>D</t>
    </r>
    <r>
      <rPr>
        <sz val="10"/>
        <rFont val="Arial"/>
        <family val="0"/>
      </rPr>
      <t>t</t>
    </r>
  </si>
  <si>
    <t>Beobachtungszeit</t>
  </si>
  <si>
    <t>Std</t>
  </si>
  <si>
    <t>Min</t>
  </si>
  <si>
    <t>n(k)</t>
  </si>
  <si>
    <t>Mittlere Winkelgeschwindigkeit</t>
  </si>
  <si>
    <t>M(k)</t>
  </si>
  <si>
    <t>rad</t>
  </si>
  <si>
    <t>rad/sec</t>
  </si>
  <si>
    <r>
      <t>m</t>
    </r>
    <r>
      <rPr>
        <vertAlign val="superscript"/>
        <sz val="10"/>
        <rFont val="Arial"/>
        <family val="2"/>
      </rPr>
      <t>-2</t>
    </r>
  </si>
  <si>
    <t>m</t>
  </si>
  <si>
    <t>E(k)</t>
  </si>
  <si>
    <t>Wahre Anomalie</t>
  </si>
  <si>
    <r>
      <t>u</t>
    </r>
    <r>
      <rPr>
        <vertAlign val="subscript"/>
        <sz val="10"/>
        <rFont val="Arial"/>
        <family val="2"/>
      </rPr>
      <t>0</t>
    </r>
  </si>
  <si>
    <t>Radiusvektor</t>
  </si>
  <si>
    <r>
      <t>r</t>
    </r>
    <r>
      <rPr>
        <vertAlign val="subscript"/>
        <sz val="10"/>
        <rFont val="Arial"/>
        <family val="2"/>
      </rPr>
      <t>0</t>
    </r>
  </si>
  <si>
    <r>
      <t>b</t>
    </r>
    <r>
      <rPr>
        <sz val="10"/>
        <rFont val="Arial"/>
        <family val="0"/>
      </rPr>
      <t>(k)</t>
    </r>
  </si>
  <si>
    <t>Länge des aufsteigenden Knotens</t>
  </si>
  <si>
    <t>Bahnneigung</t>
  </si>
  <si>
    <t>t(k)</t>
  </si>
  <si>
    <t>G*M</t>
  </si>
  <si>
    <r>
      <t>w</t>
    </r>
    <r>
      <rPr>
        <vertAlign val="subscript"/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</si>
  <si>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  <r>
      <rPr>
        <vertAlign val="superscript"/>
        <sz val="10"/>
        <rFont val="Arial"/>
        <family val="2"/>
      </rPr>
      <t>2</t>
    </r>
  </si>
  <si>
    <t>Rotationsgeschwindigkeit der Erde</t>
  </si>
  <si>
    <t>WGS 84 - Konstanten</t>
  </si>
  <si>
    <r>
      <t>n</t>
    </r>
    <r>
      <rPr>
        <sz val="10"/>
        <rFont val="Arial"/>
        <family val="0"/>
      </rPr>
      <t>(k)</t>
    </r>
  </si>
  <si>
    <t>sec</t>
  </si>
  <si>
    <t>Exzentische Anomalie                             (Iterative Lösung)</t>
  </si>
  <si>
    <r>
      <t>X</t>
    </r>
    <r>
      <rPr>
        <vertAlign val="subscript"/>
        <sz val="10"/>
        <rFont val="Arial"/>
        <family val="2"/>
      </rPr>
      <t>PE</t>
    </r>
  </si>
  <si>
    <r>
      <t>Y</t>
    </r>
    <r>
      <rPr>
        <vertAlign val="subscript"/>
        <sz val="10"/>
        <rFont val="Arial"/>
        <family val="2"/>
      </rPr>
      <t>PE</t>
    </r>
  </si>
  <si>
    <t xml:space="preserve">Satelliten - Koordinate </t>
  </si>
  <si>
    <r>
      <t>X</t>
    </r>
    <r>
      <rPr>
        <vertAlign val="subscript"/>
        <sz val="10"/>
        <rFont val="Arial"/>
        <family val="2"/>
      </rPr>
      <t>KN</t>
    </r>
  </si>
  <si>
    <r>
      <t>Y</t>
    </r>
    <r>
      <rPr>
        <vertAlign val="subscript"/>
        <sz val="10"/>
        <rFont val="Arial"/>
        <family val="2"/>
      </rPr>
      <t>KN</t>
    </r>
  </si>
  <si>
    <t>grad</t>
  </si>
  <si>
    <t>Azimut</t>
  </si>
  <si>
    <t>S</t>
  </si>
  <si>
    <t>Zenitdistanz</t>
  </si>
  <si>
    <t>Koordinatendifferenzen im topozentrischen System</t>
  </si>
  <si>
    <t>topozentrische Polarkoordinaten des Satelliten</t>
  </si>
  <si>
    <t>Große Halbachse a</t>
  </si>
  <si>
    <t>Kleine Halbachse b</t>
  </si>
  <si>
    <t>1. Numerische Exzentrizität e</t>
  </si>
  <si>
    <t>Rho (Grad)</t>
  </si>
  <si>
    <r>
      <t>X</t>
    </r>
    <r>
      <rPr>
        <vertAlign val="subscript"/>
        <sz val="10"/>
        <rFont val="Arial"/>
        <family val="2"/>
      </rPr>
      <t>CT</t>
    </r>
    <r>
      <rPr>
        <sz val="10"/>
        <rFont val="Arial"/>
        <family val="0"/>
      </rPr>
      <t xml:space="preserve"> (Beob)</t>
    </r>
  </si>
  <si>
    <r>
      <t>Y</t>
    </r>
    <r>
      <rPr>
        <vertAlign val="subscript"/>
        <sz val="10"/>
        <rFont val="Arial"/>
        <family val="2"/>
      </rPr>
      <t>CT</t>
    </r>
    <r>
      <rPr>
        <sz val="10"/>
        <rFont val="Arial"/>
        <family val="0"/>
      </rPr>
      <t xml:space="preserve"> (Beob) </t>
    </r>
  </si>
  <si>
    <r>
      <t>Z</t>
    </r>
    <r>
      <rPr>
        <vertAlign val="subscript"/>
        <sz val="10"/>
        <rFont val="Arial"/>
        <family val="2"/>
      </rPr>
      <t>CT</t>
    </r>
    <r>
      <rPr>
        <sz val="10"/>
        <rFont val="Arial"/>
        <family val="0"/>
      </rPr>
      <t xml:space="preserve"> (Beob)</t>
    </r>
  </si>
  <si>
    <r>
      <t>X</t>
    </r>
    <r>
      <rPr>
        <vertAlign val="subscript"/>
        <sz val="10"/>
        <rFont val="Arial"/>
        <family val="2"/>
      </rPr>
      <t>CT</t>
    </r>
    <r>
      <rPr>
        <sz val="10"/>
        <rFont val="Arial"/>
        <family val="0"/>
      </rPr>
      <t xml:space="preserve"> (SAT)</t>
    </r>
  </si>
  <si>
    <r>
      <t>Y</t>
    </r>
    <r>
      <rPr>
        <vertAlign val="subscript"/>
        <sz val="10"/>
        <rFont val="Arial"/>
        <family val="2"/>
      </rPr>
      <t>CT</t>
    </r>
    <r>
      <rPr>
        <sz val="10"/>
        <rFont val="Arial"/>
        <family val="0"/>
      </rPr>
      <t xml:space="preserve"> (SAT) </t>
    </r>
  </si>
  <si>
    <r>
      <t>Z</t>
    </r>
    <r>
      <rPr>
        <vertAlign val="subscript"/>
        <sz val="10"/>
        <rFont val="Arial"/>
        <family val="2"/>
      </rPr>
      <t>CT</t>
    </r>
    <r>
      <rPr>
        <sz val="10"/>
        <rFont val="Arial"/>
        <family val="0"/>
      </rPr>
      <t xml:space="preserve"> (SAT)</t>
    </r>
  </si>
  <si>
    <t xml:space="preserve">Geozentrische Gravitationskonstante </t>
  </si>
  <si>
    <r>
      <t>Länge (</t>
    </r>
    <r>
      <rPr>
        <sz val="10"/>
        <rFont val="Symbol"/>
        <family val="1"/>
      </rPr>
      <t>l</t>
    </r>
    <r>
      <rPr>
        <sz val="10"/>
        <rFont val="Arial"/>
        <family val="0"/>
      </rPr>
      <t>)</t>
    </r>
  </si>
  <si>
    <r>
      <t>Breite (</t>
    </r>
    <r>
      <rPr>
        <sz val="10"/>
        <rFont val="Symbol"/>
        <family val="1"/>
      </rPr>
      <t>j</t>
    </r>
    <r>
      <rPr>
        <sz val="10"/>
        <rFont val="Arial"/>
        <family val="0"/>
      </rPr>
      <t>)</t>
    </r>
  </si>
  <si>
    <t>Höhe (h)</t>
  </si>
  <si>
    <r>
      <t>D</t>
    </r>
    <r>
      <rPr>
        <sz val="10"/>
        <rFont val="Arial"/>
        <family val="0"/>
      </rPr>
      <t>X</t>
    </r>
    <r>
      <rPr>
        <vertAlign val="subscript"/>
        <sz val="10"/>
        <rFont val="Arial"/>
        <family val="2"/>
      </rPr>
      <t>CT</t>
    </r>
  </si>
  <si>
    <r>
      <t>D</t>
    </r>
    <r>
      <rPr>
        <sz val="10"/>
        <rFont val="Arial"/>
        <family val="0"/>
      </rPr>
      <t>Y</t>
    </r>
    <r>
      <rPr>
        <vertAlign val="subscript"/>
        <sz val="10"/>
        <rFont val="Arial"/>
        <family val="2"/>
      </rPr>
      <t>CT</t>
    </r>
  </si>
  <si>
    <r>
      <t>D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CT</t>
    </r>
  </si>
  <si>
    <t>2. Berechnung der aktuellen Satellitenposition</t>
  </si>
  <si>
    <r>
      <t>X</t>
    </r>
    <r>
      <rPr>
        <vertAlign val="subscript"/>
        <sz val="10"/>
        <rFont val="Arial"/>
        <family val="2"/>
      </rPr>
      <t>CT</t>
    </r>
  </si>
  <si>
    <r>
      <t>Y</t>
    </r>
    <r>
      <rPr>
        <vertAlign val="subscript"/>
        <sz val="10"/>
        <rFont val="Arial"/>
        <family val="2"/>
      </rPr>
      <t>CT</t>
    </r>
  </si>
  <si>
    <r>
      <t>Z</t>
    </r>
    <r>
      <rPr>
        <vertAlign val="subscript"/>
        <sz val="10"/>
        <rFont val="Arial"/>
        <family val="2"/>
      </rPr>
      <t>CT</t>
    </r>
  </si>
  <si>
    <t>Argument der Breite                                (Argument des Perigäumus + Wahre Anomalie)</t>
  </si>
  <si>
    <t>Querkümmungshalbmesser im Beobachtungspunkt</t>
  </si>
  <si>
    <r>
      <t>D</t>
    </r>
    <r>
      <rPr>
        <sz val="10"/>
        <rFont val="Arial"/>
        <family val="0"/>
      </rPr>
      <t>X (NORD)</t>
    </r>
  </si>
  <si>
    <r>
      <t>D</t>
    </r>
    <r>
      <rPr>
        <sz val="10"/>
        <rFont val="Arial"/>
        <family val="0"/>
      </rPr>
      <t>Y (OST)</t>
    </r>
  </si>
  <si>
    <t>Geozentrisch / kartesische Koordinaten des Beobachters</t>
  </si>
  <si>
    <t>Geozentrisch / kartesische Koordinaten des Satelliten</t>
  </si>
  <si>
    <t>Geozentrisch / kartesische Koordinatendifferenzen</t>
  </si>
  <si>
    <t>Grad</t>
  </si>
  <si>
    <t>h</t>
  </si>
  <si>
    <t>Quadratwurzel der großen Halbachse (Bahnellipse)</t>
  </si>
  <si>
    <t>GRS80 Ellipsoidparameter</t>
  </si>
  <si>
    <t>Grad/sec</t>
  </si>
  <si>
    <t>Elevation</t>
  </si>
  <si>
    <t>l</t>
  </si>
  <si>
    <r>
      <t xml:space="preserve">In den </t>
    </r>
    <r>
      <rPr>
        <b/>
        <sz val="12"/>
        <color indexed="13"/>
        <rFont val="Arial"/>
        <family val="2"/>
      </rPr>
      <t>gelb hinterlegten Zellen</t>
    </r>
    <r>
      <rPr>
        <b/>
        <sz val="12"/>
        <color indexed="9"/>
        <rFont val="Arial"/>
        <family val="2"/>
      </rPr>
      <t xml:space="preserve"> können die Parameter geändert werden.                                                                                                              Die Ergebnisse sind in den </t>
    </r>
    <r>
      <rPr>
        <b/>
        <sz val="12"/>
        <color indexed="11"/>
        <rFont val="Arial"/>
        <family val="2"/>
      </rPr>
      <t>grün hinterlegten Zellen</t>
    </r>
    <r>
      <rPr>
        <b/>
        <sz val="12"/>
        <color indexed="9"/>
        <rFont val="Arial"/>
        <family val="2"/>
      </rPr>
      <t xml:space="preserve"> dokumentiert.              </t>
    </r>
  </si>
  <si>
    <t>SV</t>
  </si>
  <si>
    <t>N_Quer</t>
  </si>
  <si>
    <t>f</t>
  </si>
  <si>
    <t>x</t>
  </si>
  <si>
    <t>z</t>
  </si>
  <si>
    <t>a</t>
  </si>
  <si>
    <t>ID</t>
  </si>
  <si>
    <t>Health</t>
  </si>
  <si>
    <t>ff</t>
  </si>
  <si>
    <t>Eccentricity</t>
  </si>
  <si>
    <t>Time of Applicability</t>
  </si>
  <si>
    <t>Orbital Inclination</t>
  </si>
  <si>
    <t>Rate of Right Ascen</t>
  </si>
  <si>
    <t>SQRT(A)</t>
  </si>
  <si>
    <t>Right Ascen at Week</t>
  </si>
  <si>
    <t>Argument of Perigee</t>
  </si>
  <si>
    <t>Mean Ano</t>
  </si>
  <si>
    <t>Af0</t>
  </si>
  <si>
    <t>Af1</t>
  </si>
  <si>
    <t>Week</t>
  </si>
  <si>
    <t>1. Almanach</t>
  </si>
  <si>
    <t>Tag</t>
  </si>
  <si>
    <t>Stunde</t>
  </si>
  <si>
    <t>Minute</t>
  </si>
  <si>
    <t>aktueller Satellitensubpunkt</t>
  </si>
  <si>
    <t>km</t>
  </si>
  <si>
    <t>Berechnung der Sichtbarkeit eines GPS-Satelliten aus Almanach Daten</t>
  </si>
  <si>
    <t>Breite</t>
  </si>
  <si>
    <t>Länge</t>
  </si>
  <si>
    <t>Min.</t>
  </si>
  <si>
    <t>Iterative Berechung des Satellitensunpunktes</t>
  </si>
  <si>
    <t>y</t>
  </si>
  <si>
    <t>Almanach Daten im Yuma Format</t>
  </si>
  <si>
    <t>(http://www.navcen.uscg.gov/ftp/GPS/almanacs/yuma/)</t>
  </si>
  <si>
    <t>Yuma Proving Ground is a location famed for GPS testing.</t>
  </si>
  <si>
    <t xml:space="preserve">Position des Beobachters </t>
  </si>
  <si>
    <t>Satellit(1, 2, 3)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</si>
</sst>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000000000000000"/>
    <numFmt numFmtId="168" formatCode="h:mm:ss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0000"/>
    <numFmt numFmtId="182" formatCode="0.00000000000000000000"/>
    <numFmt numFmtId="183" formatCode="0.000000000000000000000"/>
    <numFmt numFmtId="184" formatCode="0.00000000000000000"/>
    <numFmt numFmtId="185" formatCode="0.0000000000000000"/>
    <numFmt numFmtId="186" formatCode="0.000000000000000"/>
    <numFmt numFmtId="187" formatCode="0.000E+00"/>
    <numFmt numFmtId="188" formatCode="0.0000E+00"/>
    <numFmt numFmtId="189" formatCode="0.00000E+00"/>
    <numFmt numFmtId="190" formatCode="0.000000E+00"/>
    <numFmt numFmtId="191" formatCode="0.00000000000000000000000000"/>
    <numFmt numFmtId="192" formatCode="0.0000000000000000000000000"/>
    <numFmt numFmtId="193" formatCode="0.000000000000000000000000"/>
    <numFmt numFmtId="194" formatCode="0.00000000000000000000000"/>
    <numFmt numFmtId="195" formatCode="0.0000000000000000000000"/>
    <numFmt numFmtId="196" formatCode="#,##0.000"/>
    <numFmt numFmtId="197" formatCode="#,##0.000000000000"/>
    <numFmt numFmtId="198" formatCode="#,##0.000000000"/>
    <numFmt numFmtId="199" formatCode="#,##0.0"/>
    <numFmt numFmtId="200" formatCode="#,##0.0000"/>
    <numFmt numFmtId="201" formatCode="0.0"/>
    <numFmt numFmtId="202" formatCode="0.0000000000E+00"/>
    <numFmt numFmtId="203" formatCode="##\ ###\ ###.##"/>
    <numFmt numFmtId="204" formatCode="###\ ###\ ###.##"/>
    <numFmt numFmtId="205" formatCode="##\ ###\ ##0.00"/>
    <numFmt numFmtId="206" formatCode="[$€-2]\ #,##0.00_);[Red]\([$€-2]\ #,##0.00\)"/>
  </numFmts>
  <fonts count="57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sz val="10"/>
      <color indexed="9"/>
      <name val="Symbol"/>
      <family val="1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2"/>
      <color indexed="11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8"/>
      <color indexed="8"/>
      <name val="Arial"/>
      <family val="0"/>
    </font>
    <font>
      <b/>
      <sz val="10.25"/>
      <color indexed="8"/>
      <name val="Arial"/>
      <family val="0"/>
    </font>
    <font>
      <b/>
      <sz val="8.9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67" fontId="0" fillId="0" borderId="0" xfId="0" applyNumberFormat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78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19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2" fontId="0" fillId="0" borderId="19" xfId="0" applyNumberFormat="1" applyBorder="1" applyAlignment="1">
      <alignment horizontal="right" vertical="center"/>
    </xf>
    <xf numFmtId="0" fontId="0" fillId="0" borderId="12" xfId="0" applyBorder="1" applyAlignment="1">
      <alignment horizontal="left"/>
    </xf>
    <xf numFmtId="4" fontId="0" fillId="0" borderId="15" xfId="0" applyNumberFormat="1" applyBorder="1" applyAlignment="1">
      <alignment/>
    </xf>
    <xf numFmtId="0" fontId="0" fillId="0" borderId="20" xfId="0" applyBorder="1" applyAlignment="1">
      <alignment horizontal="center"/>
    </xf>
    <xf numFmtId="4" fontId="0" fillId="0" borderId="16" xfId="0" applyNumberForma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17" xfId="0" applyNumberFormat="1" applyBorder="1" applyAlignment="1">
      <alignment/>
    </xf>
    <xf numFmtId="198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/>
    </xf>
    <xf numFmtId="176" fontId="0" fillId="0" borderId="22" xfId="0" applyNumberForma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10" xfId="0" applyBorder="1" applyAlignment="1">
      <alignment horizontal="left"/>
    </xf>
    <xf numFmtId="176" fontId="0" fillId="0" borderId="17" xfId="0" applyNumberFormat="1" applyBorder="1" applyAlignment="1">
      <alignment horizontal="right"/>
    </xf>
    <xf numFmtId="178" fontId="0" fillId="0" borderId="17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4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176" fontId="0" fillId="0" borderId="0" xfId="0" applyNumberFormat="1" applyAlignment="1">
      <alignment/>
    </xf>
    <xf numFmtId="190" fontId="0" fillId="0" borderId="0" xfId="0" applyNumberFormat="1" applyAlignment="1">
      <alignment/>
    </xf>
    <xf numFmtId="2" fontId="0" fillId="0" borderId="0" xfId="0" applyNumberFormat="1" applyAlignment="1">
      <alignment/>
    </xf>
    <xf numFmtId="202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20" xfId="0" applyFill="1" applyBorder="1" applyAlignment="1">
      <alignment horizontal="left"/>
    </xf>
    <xf numFmtId="0" fontId="8" fillId="33" borderId="39" xfId="0" applyFont="1" applyFill="1" applyBorder="1" applyAlignment="1">
      <alignment horizontal="center"/>
    </xf>
    <xf numFmtId="0" fontId="8" fillId="33" borderId="2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40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10" fillId="34" borderId="22" xfId="0" applyFont="1" applyFill="1" applyBorder="1" applyAlignment="1" applyProtection="1">
      <alignment/>
      <protection locked="0"/>
    </xf>
    <xf numFmtId="0" fontId="10" fillId="34" borderId="27" xfId="0" applyFont="1" applyFill="1" applyBorder="1" applyAlignment="1">
      <alignment/>
    </xf>
    <xf numFmtId="0" fontId="10" fillId="34" borderId="10" xfId="0" applyFont="1" applyFill="1" applyBorder="1" applyAlignment="1" applyProtection="1">
      <alignment/>
      <protection locked="0"/>
    </xf>
    <xf numFmtId="0" fontId="10" fillId="34" borderId="25" xfId="0" applyFont="1" applyFill="1" applyBorder="1" applyAlignment="1">
      <alignment/>
    </xf>
    <xf numFmtId="0" fontId="10" fillId="34" borderId="41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11" xfId="0" applyFont="1" applyBorder="1" applyAlignment="1">
      <alignment/>
    </xf>
    <xf numFmtId="0" fontId="10" fillId="34" borderId="3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42" xfId="0" applyFill="1" applyBorder="1" applyAlignment="1">
      <alignment horizontal="left"/>
    </xf>
    <xf numFmtId="0" fontId="0" fillId="0" borderId="43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left" vertical="center" wrapText="1"/>
    </xf>
    <xf numFmtId="175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 horizontal="left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174" fontId="0" fillId="0" borderId="21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70" fontId="0" fillId="0" borderId="2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174" fontId="0" fillId="0" borderId="21" xfId="0" applyNumberFormat="1" applyFill="1" applyBorder="1" applyAlignment="1">
      <alignment vertical="center"/>
    </xf>
    <xf numFmtId="0" fontId="0" fillId="0" borderId="37" xfId="0" applyFill="1" applyBorder="1" applyAlignment="1">
      <alignment horizontal="left" vertical="center"/>
    </xf>
    <xf numFmtId="176" fontId="0" fillId="0" borderId="22" xfId="0" applyNumberForma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/>
    </xf>
    <xf numFmtId="176" fontId="0" fillId="0" borderId="17" xfId="0" applyNumberFormat="1" applyFill="1" applyBorder="1" applyAlignment="1">
      <alignment vertical="center" shrinkToFit="1"/>
    </xf>
    <xf numFmtId="0" fontId="0" fillId="0" borderId="12" xfId="0" applyFill="1" applyBorder="1" applyAlignment="1">
      <alignment horizontal="left" vertical="center" wrapText="1"/>
    </xf>
    <xf numFmtId="1" fontId="0" fillId="0" borderId="17" xfId="0" applyNumberFormat="1" applyFill="1" applyBorder="1" applyAlignment="1">
      <alignment/>
    </xf>
    <xf numFmtId="1" fontId="0" fillId="0" borderId="26" xfId="0" applyNumberFormat="1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50" xfId="0" applyFill="1" applyBorder="1" applyAlignment="1">
      <alignment horizontal="center"/>
    </xf>
    <xf numFmtId="190" fontId="0" fillId="0" borderId="22" xfId="0" applyNumberFormat="1" applyFill="1" applyBorder="1" applyAlignment="1">
      <alignment/>
    </xf>
    <xf numFmtId="0" fontId="0" fillId="0" borderId="26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90" fontId="0" fillId="0" borderId="51" xfId="0" applyNumberFormat="1" applyFill="1" applyBorder="1" applyAlignment="1">
      <alignment vertical="center"/>
    </xf>
    <xf numFmtId="0" fontId="0" fillId="0" borderId="52" xfId="0" applyBorder="1" applyAlignment="1">
      <alignment horizontal="left" vertical="center"/>
    </xf>
    <xf numFmtId="0" fontId="5" fillId="0" borderId="0" xfId="0" applyFont="1" applyFill="1" applyAlignment="1">
      <alignment/>
    </xf>
    <xf numFmtId="204" fontId="0" fillId="0" borderId="22" xfId="0" applyNumberFormat="1" applyBorder="1" applyAlignment="1">
      <alignment/>
    </xf>
    <xf numFmtId="204" fontId="0" fillId="0" borderId="27" xfId="0" applyNumberFormat="1" applyBorder="1" applyAlignment="1">
      <alignment/>
    </xf>
    <xf numFmtId="204" fontId="0" fillId="0" borderId="0" xfId="0" applyNumberFormat="1" applyAlignment="1">
      <alignment/>
    </xf>
    <xf numFmtId="205" fontId="0" fillId="0" borderId="51" xfId="0" applyNumberFormat="1" applyBorder="1" applyAlignment="1">
      <alignment/>
    </xf>
    <xf numFmtId="205" fontId="0" fillId="0" borderId="53" xfId="0" applyNumberFormat="1" applyBorder="1" applyAlignment="1">
      <alignment/>
    </xf>
    <xf numFmtId="205" fontId="0" fillId="0" borderId="17" xfId="0" applyNumberFormat="1" applyBorder="1" applyAlignment="1">
      <alignment/>
    </xf>
    <xf numFmtId="205" fontId="0" fillId="0" borderId="26" xfId="0" applyNumberFormat="1" applyBorder="1" applyAlignment="1">
      <alignment/>
    </xf>
    <xf numFmtId="204" fontId="0" fillId="0" borderId="51" xfId="0" applyNumberFormat="1" applyBorder="1" applyAlignment="1">
      <alignment/>
    </xf>
    <xf numFmtId="0" fontId="0" fillId="0" borderId="0" xfId="0" applyFont="1" applyFill="1" applyAlignment="1">
      <alignment/>
    </xf>
    <xf numFmtId="1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11" fontId="0" fillId="0" borderId="0" xfId="0" applyNumberFormat="1" applyAlignment="1">
      <alignment/>
    </xf>
    <xf numFmtId="11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178" fontId="0" fillId="0" borderId="17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42" xfId="0" applyBorder="1" applyAlignment="1">
      <alignment horizontal="right"/>
    </xf>
    <xf numFmtId="0" fontId="0" fillId="0" borderId="54" xfId="0" applyBorder="1" applyAlignment="1">
      <alignment/>
    </xf>
    <xf numFmtId="169" fontId="0" fillId="0" borderId="39" xfId="0" applyNumberFormat="1" applyFont="1" applyFill="1" applyBorder="1" applyAlignment="1">
      <alignment/>
    </xf>
    <xf numFmtId="1" fontId="0" fillId="0" borderId="45" xfId="0" applyNumberFormat="1" applyBorder="1" applyAlignment="1" applyProtection="1">
      <alignment/>
      <protection locked="0"/>
    </xf>
    <xf numFmtId="0" fontId="0" fillId="0" borderId="47" xfId="0" applyBorder="1" applyAlignment="1">
      <alignment/>
    </xf>
    <xf numFmtId="0" fontId="17" fillId="33" borderId="45" xfId="0" applyFont="1" applyFill="1" applyBorder="1" applyAlignment="1">
      <alignment/>
    </xf>
    <xf numFmtId="1" fontId="17" fillId="33" borderId="26" xfId="0" applyNumberFormat="1" applyFont="1" applyFill="1" applyBorder="1" applyAlignment="1">
      <alignment/>
    </xf>
    <xf numFmtId="0" fontId="8" fillId="33" borderId="55" xfId="0" applyFont="1" applyFill="1" applyBorder="1" applyAlignment="1">
      <alignment/>
    </xf>
    <xf numFmtId="1" fontId="8" fillId="33" borderId="45" xfId="0" applyNumberFormat="1" applyFont="1" applyFill="1" applyBorder="1" applyAlignment="1">
      <alignment/>
    </xf>
    <xf numFmtId="0" fontId="8" fillId="33" borderId="33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10" fillId="34" borderId="57" xfId="0" applyFont="1" applyFill="1" applyBorder="1" applyAlignment="1" applyProtection="1">
      <alignment/>
      <protection locked="0"/>
    </xf>
    <xf numFmtId="0" fontId="10" fillId="34" borderId="21" xfId="0" applyFont="1" applyFill="1" applyBorder="1" applyAlignment="1" applyProtection="1">
      <alignment/>
      <protection locked="0"/>
    </xf>
    <xf numFmtId="1" fontId="10" fillId="34" borderId="28" xfId="0" applyNumberFormat="1" applyFont="1" applyFill="1" applyBorder="1" applyAlignment="1" applyProtection="1">
      <alignment/>
      <protection locked="0"/>
    </xf>
    <xf numFmtId="1" fontId="10" fillId="34" borderId="17" xfId="0" applyNumberFormat="1" applyFont="1" applyFill="1" applyBorder="1" applyAlignment="1" applyProtection="1">
      <alignment/>
      <protection locked="0"/>
    </xf>
    <xf numFmtId="169" fontId="0" fillId="0" borderId="0" xfId="0" applyNumberFormat="1" applyAlignment="1">
      <alignment/>
    </xf>
    <xf numFmtId="2" fontId="0" fillId="0" borderId="43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0" fontId="15" fillId="0" borderId="14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0" fillId="0" borderId="41" xfId="0" applyBorder="1" applyAlignment="1">
      <alignment/>
    </xf>
    <xf numFmtId="4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" fillId="0" borderId="22" xfId="0" applyFont="1" applyBorder="1" applyAlignment="1">
      <alignment/>
    </xf>
    <xf numFmtId="171" fontId="0" fillId="0" borderId="28" xfId="0" applyNumberFormat="1" applyBorder="1" applyAlignment="1">
      <alignment/>
    </xf>
    <xf numFmtId="1" fontId="8" fillId="33" borderId="51" xfId="0" applyNumberFormat="1" applyFont="1" applyFill="1" applyBorder="1" applyAlignment="1">
      <alignment/>
    </xf>
    <xf numFmtId="0" fontId="10" fillId="34" borderId="12" xfId="0" applyFont="1" applyFill="1" applyBorder="1" applyAlignment="1">
      <alignment horizontal="right"/>
    </xf>
    <xf numFmtId="0" fontId="10" fillId="34" borderId="47" xfId="0" applyFont="1" applyFill="1" applyBorder="1" applyAlignment="1">
      <alignment horizontal="right"/>
    </xf>
    <xf numFmtId="0" fontId="10" fillId="34" borderId="15" xfId="0" applyFont="1" applyFill="1" applyBorder="1" applyAlignment="1">
      <alignment horizontal="right"/>
    </xf>
    <xf numFmtId="1" fontId="10" fillId="34" borderId="48" xfId="0" applyNumberFormat="1" applyFont="1" applyFill="1" applyBorder="1" applyAlignment="1">
      <alignment horizontal="center"/>
    </xf>
    <xf numFmtId="1" fontId="10" fillId="34" borderId="37" xfId="0" applyNumberFormat="1" applyFont="1" applyFill="1" applyBorder="1" applyAlignment="1">
      <alignment horizontal="center"/>
    </xf>
    <xf numFmtId="1" fontId="10" fillId="34" borderId="38" xfId="0" applyNumberFormat="1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47" xfId="0" applyBorder="1" applyAlignment="1">
      <alignment horizontal="right"/>
    </xf>
    <xf numFmtId="1" fontId="0" fillId="0" borderId="48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169" fontId="0" fillId="0" borderId="38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right"/>
    </xf>
    <xf numFmtId="169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200" fontId="15" fillId="33" borderId="10" xfId="0" applyNumberFormat="1" applyFont="1" applyFill="1" applyBorder="1" applyAlignment="1">
      <alignment horizontal="right"/>
    </xf>
    <xf numFmtId="200" fontId="8" fillId="33" borderId="4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52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200" fontId="15" fillId="33" borderId="28" xfId="0" applyNumberFormat="1" applyFont="1" applyFill="1" applyBorder="1" applyAlignment="1">
      <alignment horizontal="righ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203" fontId="8" fillId="33" borderId="10" xfId="0" applyNumberFormat="1" applyFont="1" applyFill="1" applyBorder="1" applyAlignment="1">
      <alignment horizontal="right"/>
    </xf>
    <xf numFmtId="0" fontId="16" fillId="0" borderId="6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4" fontId="0" fillId="0" borderId="41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6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2" fillId="0" borderId="68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6" xfId="0" applyBorder="1" applyAlignment="1">
      <alignment horizontal="left"/>
    </xf>
    <xf numFmtId="0" fontId="2" fillId="0" borderId="74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9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176" fontId="0" fillId="0" borderId="49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0" fontId="0" fillId="0" borderId="7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71" fontId="0" fillId="0" borderId="49" xfId="0" applyNumberFormat="1" applyFill="1" applyBorder="1" applyAlignment="1">
      <alignment horizontal="center" vertical="center"/>
    </xf>
    <xf numFmtId="171" fontId="0" fillId="0" borderId="16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b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85"/>
          <c:w val="0.9547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Satellitensubpunkt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Subpunkt!$E$27</c:f>
              <c:numCache>
                <c:ptCount val="1"/>
                <c:pt idx="0">
                  <c:v>155.57499850512605</c:v>
                </c:pt>
              </c:numCache>
            </c:numRef>
          </c:xVal>
          <c:yVal>
            <c:numRef>
              <c:f>Subpunkt!$E$17</c:f>
              <c:numCache>
                <c:ptCount val="1"/>
                <c:pt idx="0">
                  <c:v>41.33455602281418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'Sat-Sichtbarkeit'!$B$11:$F$11</c:f>
              <c:strCache>
                <c:ptCount val="1"/>
                <c:pt idx="0">
                  <c:v>Position des Beobachters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'Sat-Sichtbarkeit'!$C$12</c:f>
              <c:numCache/>
            </c:numRef>
          </c:xVal>
          <c:yVal>
            <c:numRef>
              <c:f>'Sat-Sichtbarkeit'!$C$13</c:f>
              <c:numCache/>
            </c:numRef>
          </c:yVal>
          <c:smooth val="0"/>
        </c:ser>
        <c:axId val="64284356"/>
        <c:axId val="41688293"/>
      </c:scatterChart>
      <c:valAx>
        <c:axId val="64284356"/>
        <c:scaling>
          <c:orientation val="minMax"/>
          <c:max val="180"/>
          <c:min val="-18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8293"/>
        <c:crosses val="autoZero"/>
        <c:crossBetween val="midCat"/>
        <c:dispUnits/>
      </c:valAx>
      <c:valAx>
        <c:axId val="41688293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4356"/>
        <c:crosses val="autoZero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575"/>
          <c:y val="0.8985"/>
          <c:w val="0.769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75"/>
          <c:w val="0.86825"/>
          <c:h val="0.92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Subpunkt!$E$27</c:f>
              <c:numCache/>
            </c:numRef>
          </c:xVal>
          <c:yVal>
            <c:numRef>
              <c:f>Subpunkt!$E$17</c:f>
              <c:numCache/>
            </c:numRef>
          </c:yVal>
          <c:smooth val="0"/>
        </c:ser>
        <c:axId val="39650318"/>
        <c:axId val="21308543"/>
      </c:scatterChart>
      <c:valAx>
        <c:axId val="39650318"/>
        <c:scaling>
          <c:orientation val="minMax"/>
          <c:max val="180"/>
          <c:min val="-18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308543"/>
        <c:crosses val="autoZero"/>
        <c:crossBetween val="midCat"/>
        <c:dispUnits/>
      </c:valAx>
      <c:valAx>
        <c:axId val="21308543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50318"/>
        <c:crosses val="autoZero"/>
        <c:crossBetween val="midCat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41375"/>
          <c:w val="0.094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13</xdr:row>
      <xdr:rowOff>0</xdr:rowOff>
    </xdr:from>
    <xdr:to>
      <xdr:col>20</xdr:col>
      <xdr:colOff>85725</xdr:colOff>
      <xdr:row>26</xdr:row>
      <xdr:rowOff>85725</xdr:rowOff>
    </xdr:to>
    <xdr:graphicFrame>
      <xdr:nvGraphicFramePr>
        <xdr:cNvPr id="1" name="Diagramm 3"/>
        <xdr:cNvGraphicFramePr/>
      </xdr:nvGraphicFramePr>
      <xdr:xfrm>
        <a:off x="7019925" y="2371725"/>
        <a:ext cx="4191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85725</xdr:rowOff>
    </xdr:from>
    <xdr:to>
      <xdr:col>1</xdr:col>
      <xdr:colOff>457200</xdr:colOff>
      <xdr:row>14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146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18</xdr:row>
      <xdr:rowOff>142875</xdr:rowOff>
    </xdr:from>
    <xdr:to>
      <xdr:col>16</xdr:col>
      <xdr:colOff>361950</xdr:colOff>
      <xdr:row>34</xdr:row>
      <xdr:rowOff>19050</xdr:rowOff>
    </xdr:to>
    <xdr:graphicFrame>
      <xdr:nvGraphicFramePr>
        <xdr:cNvPr id="1" name="Diagramm 1"/>
        <xdr:cNvGraphicFramePr/>
      </xdr:nvGraphicFramePr>
      <xdr:xfrm>
        <a:off x="7143750" y="3057525"/>
        <a:ext cx="6400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2"/>
  <sheetViews>
    <sheetView showGridLines="0" tabSelected="1" zoomScalePageLayoutView="0" workbookViewId="0" topLeftCell="A4">
      <selection activeCell="E20" sqref="E20"/>
    </sheetView>
  </sheetViews>
  <sheetFormatPr defaultColWidth="11.421875" defaultRowHeight="12.75"/>
  <cols>
    <col min="1" max="1" width="1.7109375" style="0" customWidth="1"/>
    <col min="2" max="2" width="12.7109375" style="0" bestFit="1" customWidth="1"/>
    <col min="3" max="3" width="13.8515625" style="0" customWidth="1"/>
    <col min="4" max="4" width="13.7109375" style="0" customWidth="1"/>
    <col min="5" max="5" width="7.7109375" style="0" customWidth="1"/>
    <col min="6" max="6" width="5.00390625" style="0" customWidth="1"/>
    <col min="7" max="7" width="3.28125" style="0" customWidth="1"/>
    <col min="8" max="8" width="14.28125" style="30" customWidth="1"/>
    <col min="10" max="10" width="6.57421875" style="0" customWidth="1"/>
    <col min="11" max="11" width="3.8515625" style="0" hidden="1" customWidth="1"/>
    <col min="15" max="15" width="8.00390625" style="0" customWidth="1"/>
    <col min="16" max="16" width="9.00390625" style="0" customWidth="1"/>
    <col min="17" max="17" width="7.7109375" style="0" customWidth="1"/>
    <col min="18" max="18" width="7.57421875" style="0" customWidth="1"/>
    <col min="19" max="19" width="4.57421875" style="0" customWidth="1"/>
    <col min="20" max="20" width="5.421875" style="0" customWidth="1"/>
  </cols>
  <sheetData>
    <row r="1" ht="13.5" thickBot="1"/>
    <row r="2" spans="2:13" ht="15.75" thickBot="1">
      <c r="B2" s="256" t="s">
        <v>115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</row>
    <row r="4" spans="2:12" ht="12.75" customHeight="1">
      <c r="B4" s="218" t="s">
        <v>88</v>
      </c>
      <c r="C4" s="218"/>
      <c r="D4" s="218"/>
      <c r="E4" s="218"/>
      <c r="F4" s="218"/>
      <c r="G4" s="218"/>
      <c r="H4" s="218"/>
      <c r="I4" s="218"/>
      <c r="J4" s="94"/>
      <c r="K4" s="95"/>
      <c r="L4" s="95"/>
    </row>
    <row r="5" spans="2:14" ht="12.75" customHeight="1">
      <c r="B5" s="218"/>
      <c r="C5" s="218"/>
      <c r="D5" s="218"/>
      <c r="E5" s="218"/>
      <c r="F5" s="218"/>
      <c r="G5" s="218"/>
      <c r="H5" s="218"/>
      <c r="I5" s="218"/>
      <c r="J5" s="94"/>
      <c r="K5" s="95"/>
      <c r="L5" s="95"/>
      <c r="N5" s="95"/>
    </row>
    <row r="6" spans="2:16" ht="12.75" customHeight="1">
      <c r="B6" s="218"/>
      <c r="C6" s="218"/>
      <c r="D6" s="218"/>
      <c r="E6" s="218"/>
      <c r="F6" s="218"/>
      <c r="G6" s="218"/>
      <c r="H6" s="218"/>
      <c r="I6" s="218"/>
      <c r="J6" s="94"/>
      <c r="K6" s="95"/>
      <c r="L6" s="95"/>
      <c r="M6" s="91"/>
      <c r="P6" s="92"/>
    </row>
    <row r="7" spans="2:12" ht="18.75" customHeight="1" thickBot="1">
      <c r="B7" s="219"/>
      <c r="C7" s="219"/>
      <c r="D7" s="219"/>
      <c r="E7" s="219"/>
      <c r="F7" s="219"/>
      <c r="G7" s="219"/>
      <c r="H7" s="219"/>
      <c r="I7" s="219"/>
      <c r="J7" s="94"/>
      <c r="K7" s="96"/>
      <c r="L7" s="96"/>
    </row>
    <row r="8" spans="9:12" ht="13.5" thickBot="1">
      <c r="I8" s="73"/>
      <c r="J8" s="97"/>
      <c r="K8" s="73"/>
      <c r="L8" s="73"/>
    </row>
    <row r="9" spans="2:12" ht="15" thickBot="1">
      <c r="B9" s="93" t="s">
        <v>125</v>
      </c>
      <c r="C9" s="90">
        <v>3</v>
      </c>
      <c r="D9" s="77" t="str">
        <f>IF(C9=1,CONCATENATE("SV  ",Sat_1!C3),IF(C9=2,CONCATENATE("SV  ",Sat_2!C3),IF(C9=3,CONCATENATE("SV  ",Sat_3!C3))))</f>
        <v>SV  4</v>
      </c>
      <c r="E9" s="70" t="e">
        <f>IF(C9=1,Sat_1!#REF!,IF(C9=2,Sat_2!#REF!,IF(C9=3,Sat_3!#REF!)))</f>
        <v>#REF!</v>
      </c>
      <c r="F9" s="70"/>
      <c r="G9" s="70"/>
      <c r="H9" s="74"/>
      <c r="I9" s="70" t="s">
        <v>56</v>
      </c>
      <c r="J9" s="71">
        <f>180/PI()</f>
        <v>57.29577951308232</v>
      </c>
      <c r="K9" s="73"/>
      <c r="L9" s="73"/>
    </row>
    <row r="10" ht="13.5" thickBot="1"/>
    <row r="11" spans="2:20" ht="15" thickBot="1">
      <c r="B11" s="224" t="s">
        <v>124</v>
      </c>
      <c r="C11" s="225"/>
      <c r="D11" s="225"/>
      <c r="E11" s="225"/>
      <c r="F11" s="226"/>
      <c r="G11" s="5"/>
      <c r="H11" s="220" t="s">
        <v>52</v>
      </c>
      <c r="I11" s="221"/>
      <c r="J11" s="221"/>
      <c r="K11" s="221"/>
      <c r="L11" s="222"/>
      <c r="N11" s="248" t="s">
        <v>113</v>
      </c>
      <c r="O11" s="249"/>
      <c r="P11" s="166" t="s">
        <v>64</v>
      </c>
      <c r="Q11" s="167">
        <f>Subpunkt!C29</f>
        <v>155</v>
      </c>
      <c r="R11" s="169" t="s">
        <v>81</v>
      </c>
      <c r="S11" s="170">
        <f>Subpunkt!C30</f>
        <v>34.49991030756246</v>
      </c>
      <c r="T11" s="171" t="s">
        <v>118</v>
      </c>
    </row>
    <row r="12" spans="2:20" ht="16.5" thickBot="1" thickTop="1">
      <c r="B12" s="34" t="s">
        <v>64</v>
      </c>
      <c r="C12" s="82">
        <v>30</v>
      </c>
      <c r="D12" s="174" t="s">
        <v>47</v>
      </c>
      <c r="E12" s="176">
        <v>0</v>
      </c>
      <c r="F12" s="83" t="s">
        <v>17</v>
      </c>
      <c r="G12" s="5"/>
      <c r="H12" s="181" t="s">
        <v>48</v>
      </c>
      <c r="I12" s="223">
        <f>MOD(ATAN2(D39,D38)*rho,360)</f>
        <v>39.28798853701619</v>
      </c>
      <c r="J12" s="223"/>
      <c r="K12" s="223"/>
      <c r="L12" s="78" t="s">
        <v>81</v>
      </c>
      <c r="N12" s="250"/>
      <c r="O12" s="251"/>
      <c r="P12" s="18" t="s">
        <v>65</v>
      </c>
      <c r="Q12" s="168">
        <f>Subpunkt!C24</f>
        <v>41</v>
      </c>
      <c r="R12" s="172" t="s">
        <v>81</v>
      </c>
      <c r="S12" s="190">
        <f>Subpunkt!C25</f>
        <v>20.073361369162285</v>
      </c>
      <c r="T12" s="173" t="s">
        <v>118</v>
      </c>
    </row>
    <row r="13" spans="2:12" ht="14.25">
      <c r="B13" s="13" t="s">
        <v>65</v>
      </c>
      <c r="C13" s="177">
        <v>53</v>
      </c>
      <c r="D13" s="175" t="s">
        <v>47</v>
      </c>
      <c r="E13" s="84">
        <v>0</v>
      </c>
      <c r="F13" s="85" t="s">
        <v>17</v>
      </c>
      <c r="G13" s="5"/>
      <c r="H13" s="75" t="s">
        <v>49</v>
      </c>
      <c r="I13" s="227">
        <f>SQRT(D33^2+D34^2+D35^2)/1000</f>
        <v>25643.48731123221</v>
      </c>
      <c r="J13" s="227"/>
      <c r="K13" s="227"/>
      <c r="L13" s="79" t="s">
        <v>114</v>
      </c>
    </row>
    <row r="14" spans="2:12" ht="15">
      <c r="B14" s="59" t="s">
        <v>66</v>
      </c>
      <c r="C14" s="86">
        <v>100</v>
      </c>
      <c r="D14" s="87" t="s">
        <v>24</v>
      </c>
      <c r="E14" s="88"/>
      <c r="F14" s="89"/>
      <c r="G14" s="5"/>
      <c r="H14" s="182" t="s">
        <v>50</v>
      </c>
      <c r="I14" s="216">
        <f>ACOS((COS(C13/rho)*COS(C12/rho)*D33+COS(C13/rho)*SIN(C12/rho)*D34+SIN(C13/rho)*D35)/(I13*1000))*rho</f>
        <v>88.55850603171376</v>
      </c>
      <c r="J14" s="216"/>
      <c r="K14" s="216"/>
      <c r="L14" s="79" t="s">
        <v>81</v>
      </c>
    </row>
    <row r="15" spans="2:12" ht="12.75" customHeight="1" thickBot="1">
      <c r="B15" s="242" t="s">
        <v>75</v>
      </c>
      <c r="C15" s="243"/>
      <c r="D15" s="246">
        <f>D42/(SQRT(1-D44^2*SIN((C13+E13/60)/rho)^2))</f>
        <v>6391797.447874346</v>
      </c>
      <c r="E15" s="240" t="s">
        <v>24</v>
      </c>
      <c r="F15" s="8"/>
      <c r="H15" s="76" t="s">
        <v>86</v>
      </c>
      <c r="I15" s="217">
        <f>90-I14</f>
        <v>1.4414939682862382</v>
      </c>
      <c r="J15" s="217"/>
      <c r="K15" s="80"/>
      <c r="L15" s="81" t="s">
        <v>81</v>
      </c>
    </row>
    <row r="16" spans="2:12" ht="12.75" thickBot="1">
      <c r="B16" s="244"/>
      <c r="C16" s="245"/>
      <c r="D16" s="247"/>
      <c r="E16" s="241"/>
      <c r="F16" s="36"/>
      <c r="H16" s="228" t="str">
        <f>IF(I14&gt;90," Der Satellit ist nicht sichtbar","Der Satellit ist sichtbar. ")</f>
        <v>Der Satellit ist sichtbar. </v>
      </c>
      <c r="I16" s="228"/>
      <c r="J16" s="228"/>
      <c r="K16" s="228"/>
      <c r="L16" s="228"/>
    </row>
    <row r="17" spans="2:12" ht="12.75" thickBot="1">
      <c r="B17" s="5"/>
      <c r="C17" s="5"/>
      <c r="D17" s="58"/>
      <c r="E17" s="5"/>
      <c r="F17" s="5"/>
      <c r="H17" s="229"/>
      <c r="I17" s="229"/>
      <c r="J17" s="229"/>
      <c r="K17" s="229"/>
      <c r="L17" s="229"/>
    </row>
    <row r="18" spans="2:10" ht="12.75" customHeight="1">
      <c r="B18" s="234" t="s">
        <v>15</v>
      </c>
      <c r="C18" s="235"/>
      <c r="D18" s="192" t="s">
        <v>110</v>
      </c>
      <c r="E18" s="194">
        <v>0</v>
      </c>
      <c r="H18" s="213" t="s">
        <v>5</v>
      </c>
      <c r="I18" s="198" t="s">
        <v>110</v>
      </c>
      <c r="J18" s="199">
        <f>'Sat.Koordinate'!D16</f>
        <v>0</v>
      </c>
    </row>
    <row r="19" spans="2:10" ht="14.25">
      <c r="B19" s="236"/>
      <c r="C19" s="237"/>
      <c r="D19" s="191" t="s">
        <v>82</v>
      </c>
      <c r="E19" s="195">
        <v>1</v>
      </c>
      <c r="H19" s="214"/>
      <c r="I19" s="197" t="s">
        <v>82</v>
      </c>
      <c r="J19" s="200">
        <f>'Sat.Koordinate'!D17</f>
        <v>13</v>
      </c>
    </row>
    <row r="20" spans="2:10" ht="15" thickBot="1">
      <c r="B20" s="238"/>
      <c r="C20" s="239"/>
      <c r="D20" s="193" t="s">
        <v>112</v>
      </c>
      <c r="E20" s="196">
        <v>50</v>
      </c>
      <c r="H20" s="215"/>
      <c r="I20" s="201" t="s">
        <v>112</v>
      </c>
      <c r="J20" s="202">
        <f>'Sat.Koordinate'!D18</f>
        <v>39.199999999999946</v>
      </c>
    </row>
    <row r="21" ht="13.5" thickBot="1">
      <c r="D21" s="4"/>
    </row>
    <row r="22" spans="2:5" ht="13.5" thickBot="1">
      <c r="B22" s="224" t="s">
        <v>78</v>
      </c>
      <c r="C22" s="225"/>
      <c r="D22" s="225"/>
      <c r="E22" s="226"/>
    </row>
    <row r="23" spans="2:6" ht="16.5" thickTop="1">
      <c r="B23" s="230" t="s">
        <v>57</v>
      </c>
      <c r="C23" s="231"/>
      <c r="D23" s="138">
        <f>(D15+C14)*COS((C13+E13/60)/rho)*COS((C12+E12/60)/rho)</f>
        <v>3331374.484312044</v>
      </c>
      <c r="E23" s="139" t="s">
        <v>24</v>
      </c>
      <c r="F23" s="140"/>
    </row>
    <row r="24" spans="2:5" ht="15.75">
      <c r="B24" s="232" t="s">
        <v>58</v>
      </c>
      <c r="C24" s="233"/>
      <c r="D24" s="138">
        <f>(D15+C14)*COS((C13+E13/60)/rho)*SIN((C12+E12/60)/rho)</f>
        <v>1923369.955289009</v>
      </c>
      <c r="E24" s="38" t="s">
        <v>24</v>
      </c>
    </row>
    <row r="25" spans="2:5" ht="16.5" thickBot="1">
      <c r="B25" s="261" t="s">
        <v>59</v>
      </c>
      <c r="C25" s="262"/>
      <c r="D25" s="145">
        <f>(D15*(1-D44^2)+C14)*SIN((C13+E13/60)/rho)</f>
        <v>5070623.36663871</v>
      </c>
      <c r="E25" s="36" t="s">
        <v>24</v>
      </c>
    </row>
    <row r="26" ht="13.5" thickBot="1">
      <c r="D26" s="4"/>
    </row>
    <row r="27" spans="2:5" ht="13.5" thickBot="1">
      <c r="B27" s="224" t="s">
        <v>79</v>
      </c>
      <c r="C27" s="225"/>
      <c r="D27" s="225"/>
      <c r="E27" s="226"/>
    </row>
    <row r="28" spans="2:5" ht="16.5" thickTop="1">
      <c r="B28" s="230" t="s">
        <v>60</v>
      </c>
      <c r="C28" s="231"/>
      <c r="D28" s="138">
        <f>'Sat.Koordinate'!D58</f>
        <v>-18171670.756423436</v>
      </c>
      <c r="E28" s="41" t="s">
        <v>24</v>
      </c>
    </row>
    <row r="29" spans="2:5" ht="15.75">
      <c r="B29" s="232" t="s">
        <v>61</v>
      </c>
      <c r="C29" s="233"/>
      <c r="D29" s="138">
        <f>'Sat.Koordinate'!D59</f>
        <v>8252598.32476199</v>
      </c>
      <c r="E29" s="38" t="s">
        <v>24</v>
      </c>
    </row>
    <row r="30" spans="2:5" ht="16.5" thickBot="1">
      <c r="B30" s="261" t="s">
        <v>62</v>
      </c>
      <c r="C30" s="262"/>
      <c r="D30" s="141">
        <f>'Sat.Koordinate'!D60</f>
        <v>17526479.62396879</v>
      </c>
      <c r="E30" s="36" t="s">
        <v>24</v>
      </c>
    </row>
    <row r="31" ht="13.5" thickBot="1"/>
    <row r="32" spans="2:5" ht="13.5" thickBot="1">
      <c r="B32" s="224" t="s">
        <v>80</v>
      </c>
      <c r="C32" s="225"/>
      <c r="D32" s="225"/>
      <c r="E32" s="226"/>
    </row>
    <row r="33" spans="2:5" ht="16.5" thickTop="1">
      <c r="B33" s="259" t="s">
        <v>67</v>
      </c>
      <c r="C33" s="260"/>
      <c r="D33" s="142">
        <f>D28-D23</f>
        <v>-21503045.24073548</v>
      </c>
      <c r="E33" s="41" t="s">
        <v>24</v>
      </c>
    </row>
    <row r="34" spans="2:5" ht="15.75">
      <c r="B34" s="252" t="s">
        <v>68</v>
      </c>
      <c r="C34" s="253"/>
      <c r="D34" s="143">
        <f>D29-D24</f>
        <v>6329228.369472981</v>
      </c>
      <c r="E34" s="38" t="s">
        <v>24</v>
      </c>
    </row>
    <row r="35" spans="2:5" ht="16.5" thickBot="1">
      <c r="B35" s="254" t="s">
        <v>69</v>
      </c>
      <c r="C35" s="255"/>
      <c r="D35" s="141">
        <f>D30-D25</f>
        <v>12455856.257330082</v>
      </c>
      <c r="E35" s="36" t="s">
        <v>24</v>
      </c>
    </row>
    <row r="36" ht="13.5" thickBot="1"/>
    <row r="37" spans="2:5" ht="13.5" thickBot="1">
      <c r="B37" s="224" t="s">
        <v>51</v>
      </c>
      <c r="C37" s="225"/>
      <c r="D37" s="225"/>
      <c r="E37" s="226"/>
    </row>
    <row r="38" spans="2:5" ht="13.5" thickTop="1">
      <c r="B38" s="263" t="s">
        <v>77</v>
      </c>
      <c r="C38" s="264"/>
      <c r="D38" s="143">
        <f>-SIN(C46)*D33+COS(C46)*D34</f>
        <v>16232795.174684502</v>
      </c>
      <c r="E38" s="41" t="s">
        <v>24</v>
      </c>
    </row>
    <row r="39" spans="2:5" ht="13.5" thickBot="1">
      <c r="B39" s="254" t="s">
        <v>76</v>
      </c>
      <c r="C39" s="262"/>
      <c r="D39" s="144">
        <f>-SIN(C47)*COS(C46)*D33-SIN(C47)*SIN(C46)*D34+COS(C47)*D35</f>
        <v>19841085.12591863</v>
      </c>
      <c r="E39" s="36" t="s">
        <v>24</v>
      </c>
    </row>
    <row r="40" ht="13.5" thickBot="1"/>
    <row r="41" spans="2:5" ht="13.5" thickBot="1">
      <c r="B41" s="224" t="s">
        <v>84</v>
      </c>
      <c r="C41" s="225"/>
      <c r="D41" s="225"/>
      <c r="E41" s="226"/>
    </row>
    <row r="42" spans="2:5" ht="13.5" thickTop="1">
      <c r="B42" s="265" t="s">
        <v>53</v>
      </c>
      <c r="C42" s="264"/>
      <c r="D42" s="143">
        <v>6378137</v>
      </c>
      <c r="E42" s="41" t="s">
        <v>24</v>
      </c>
    </row>
    <row r="43" spans="2:5" ht="12.75">
      <c r="B43" s="232" t="s">
        <v>54</v>
      </c>
      <c r="C43" s="233"/>
      <c r="D43" s="143">
        <v>6356752.314</v>
      </c>
      <c r="E43" s="41" t="s">
        <v>24</v>
      </c>
    </row>
    <row r="44" spans="2:5" ht="13.5" thickBot="1">
      <c r="B44" s="261" t="s">
        <v>55</v>
      </c>
      <c r="C44" s="262"/>
      <c r="D44" s="40">
        <f>SQRT((D42^2-D43^2)/D42^2)</f>
        <v>0.08181919131086947</v>
      </c>
      <c r="E44" s="36"/>
    </row>
    <row r="46" ht="12.75">
      <c r="C46" s="70">
        <f>(C12+E12/60)/rho</f>
        <v>0.5235987755982988</v>
      </c>
    </row>
    <row r="47" ht="12.75">
      <c r="C47" s="70">
        <f>(C13+E13/60)/rho</f>
        <v>0.9250245035569946</v>
      </c>
    </row>
    <row r="51" ht="12.75">
      <c r="B51" s="70" t="s">
        <v>87</v>
      </c>
    </row>
    <row r="52" ht="12.75">
      <c r="B52" s="70"/>
    </row>
  </sheetData>
  <sheetProtection/>
  <mergeCells count="34">
    <mergeCell ref="B44:C44"/>
    <mergeCell ref="B38:C38"/>
    <mergeCell ref="B39:C39"/>
    <mergeCell ref="B42:C42"/>
    <mergeCell ref="B43:C43"/>
    <mergeCell ref="B30:C30"/>
    <mergeCell ref="B32:E32"/>
    <mergeCell ref="N11:O12"/>
    <mergeCell ref="B34:C34"/>
    <mergeCell ref="B41:E41"/>
    <mergeCell ref="B37:E37"/>
    <mergeCell ref="B35:C35"/>
    <mergeCell ref="B2:M2"/>
    <mergeCell ref="B33:C33"/>
    <mergeCell ref="B23:C23"/>
    <mergeCell ref="B24:C24"/>
    <mergeCell ref="B25:C25"/>
    <mergeCell ref="B27:E27"/>
    <mergeCell ref="B28:C28"/>
    <mergeCell ref="B29:C29"/>
    <mergeCell ref="B18:C20"/>
    <mergeCell ref="E15:E16"/>
    <mergeCell ref="B22:E22"/>
    <mergeCell ref="B15:C16"/>
    <mergeCell ref="D15:D16"/>
    <mergeCell ref="H18:H20"/>
    <mergeCell ref="I14:K14"/>
    <mergeCell ref="I15:J15"/>
    <mergeCell ref="B4:I7"/>
    <mergeCell ref="H11:L11"/>
    <mergeCell ref="I12:K12"/>
    <mergeCell ref="B11:F11"/>
    <mergeCell ref="I13:K13"/>
    <mergeCell ref="H16:L17"/>
  </mergeCells>
  <conditionalFormatting sqref="I12:K12">
    <cfRule type="expression" priority="1" dxfId="0" stopIfTrue="1">
      <formula>"Wenn($I$13&lt;0)"</formula>
    </cfRule>
  </conditionalFormatting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4"/>
  <headerFooter alignWithMargins="0">
    <oddHeader>&amp;CSatellitensichbarkeit aus Standpunkt- und Satellitenkoordinaten</oddHeader>
    <oddFooter>&amp;C&amp;T&amp;F</oddFooter>
  </headerFooter>
  <drawing r:id="rId3"/>
  <legacyDrawing r:id="rId2"/>
  <oleObjects>
    <oleObject progId="CorelDRAW.Graphic.10" shapeId="4118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PageLayoutView="0" workbookViewId="0" topLeftCell="A43">
      <selection activeCell="D63" sqref="D63"/>
    </sheetView>
  </sheetViews>
  <sheetFormatPr defaultColWidth="11.421875" defaultRowHeight="12.75"/>
  <cols>
    <col min="1" max="1" width="0.9921875" style="0" customWidth="1"/>
    <col min="2" max="2" width="8.00390625" style="0" customWidth="1"/>
    <col min="3" max="3" width="35.28125" style="0" customWidth="1"/>
    <col min="4" max="4" width="15.421875" style="0" customWidth="1"/>
    <col min="5" max="5" width="8.28125" style="0" customWidth="1"/>
    <col min="6" max="6" width="8.7109375" style="0" customWidth="1"/>
    <col min="7" max="7" width="8.421875" style="0" customWidth="1"/>
    <col min="8" max="8" width="13.00390625" style="0" bestFit="1" customWidth="1"/>
    <col min="9" max="9" width="11.57421875" style="0" bestFit="1" customWidth="1"/>
    <col min="10" max="10" width="16.57421875" style="0" bestFit="1" customWidth="1"/>
  </cols>
  <sheetData>
    <row r="1" ht="15">
      <c r="B1" s="29" t="s">
        <v>109</v>
      </c>
    </row>
    <row r="2" ht="12.75" thickBot="1"/>
    <row r="3" spans="2:7" ht="12.75" thickBot="1">
      <c r="B3" s="220" t="s">
        <v>38</v>
      </c>
      <c r="C3" s="221"/>
      <c r="D3" s="221"/>
      <c r="E3" s="221"/>
      <c r="F3" s="221"/>
      <c r="G3" s="222"/>
    </row>
    <row r="4" spans="2:7" ht="15" thickTop="1">
      <c r="B4" s="15" t="s">
        <v>34</v>
      </c>
      <c r="C4" s="19" t="s">
        <v>63</v>
      </c>
      <c r="D4" s="131">
        <f>3986005*10^8</f>
        <v>398600500000000</v>
      </c>
      <c r="E4" s="48" t="s">
        <v>36</v>
      </c>
      <c r="F4" s="54"/>
      <c r="G4" s="37"/>
    </row>
    <row r="5" spans="2:7" ht="17.25" thickBot="1">
      <c r="B5" s="133" t="s">
        <v>35</v>
      </c>
      <c r="C5" s="134" t="s">
        <v>37</v>
      </c>
      <c r="D5" s="135">
        <f>7292115*10^(-11)</f>
        <v>7.292115E-05</v>
      </c>
      <c r="E5" s="136" t="s">
        <v>22</v>
      </c>
      <c r="F5" s="132">
        <f>D5*rho</f>
        <v>0.004178074132240403</v>
      </c>
      <c r="G5" s="53" t="s">
        <v>85</v>
      </c>
    </row>
    <row r="6" spans="2:7" ht="13.5" thickBot="1">
      <c r="B6" s="17"/>
      <c r="C6" s="5"/>
      <c r="D6" s="16"/>
      <c r="E6" s="6"/>
      <c r="G6" s="5"/>
    </row>
    <row r="7" spans="2:7" ht="12.75" thickBot="1">
      <c r="B7" s="130" t="s">
        <v>89</v>
      </c>
      <c r="C7" s="98">
        <f>'Sat-Sichtbarkeit'!C9</f>
        <v>3</v>
      </c>
      <c r="D7" s="99"/>
      <c r="E7" s="99"/>
      <c r="F7" s="99"/>
      <c r="G7" s="100"/>
    </row>
    <row r="8" spans="2:9" ht="16.5">
      <c r="B8" s="101" t="s">
        <v>6</v>
      </c>
      <c r="C8" s="102" t="s">
        <v>0</v>
      </c>
      <c r="D8" s="103">
        <f>IF($C$7=1,Sat_1!C12,IF($C$7=2,Sat_2!C12,IF($C$7=3,Sat_3!C12)))</f>
        <v>1.4914012991</v>
      </c>
      <c r="E8" s="104" t="s">
        <v>21</v>
      </c>
      <c r="F8" s="105">
        <f>D8*rho</f>
        <v>85.45099999875815</v>
      </c>
      <c r="G8" s="106" t="s">
        <v>81</v>
      </c>
      <c r="I8" s="14"/>
    </row>
    <row r="9" spans="2:7" ht="12.75">
      <c r="B9" s="111" t="s">
        <v>7</v>
      </c>
      <c r="C9" s="108" t="s">
        <v>1</v>
      </c>
      <c r="D9" s="112">
        <f>IF($C$7=1,Sat_1!C5,IF($C$7=2,Sat_2!C5,IF($C$7=3,Sat_3!C5)))</f>
        <v>0.009114</v>
      </c>
      <c r="E9" s="113"/>
      <c r="F9" s="114"/>
      <c r="G9" s="115"/>
    </row>
    <row r="10" spans="2:7" ht="24.75">
      <c r="B10" s="116"/>
      <c r="C10" s="108" t="s">
        <v>83</v>
      </c>
      <c r="D10" s="117">
        <f>IF($C$7=1,Sat_1!C9,IF($C$7=2,Sat_2!C9,IF($C$7=3,Sat_3!C9)))</f>
        <v>5153.6</v>
      </c>
      <c r="E10" s="118" t="s">
        <v>23</v>
      </c>
      <c r="F10" s="114"/>
      <c r="G10" s="115"/>
    </row>
    <row r="11" spans="2:7" ht="24.75">
      <c r="B11" s="107" t="s">
        <v>9</v>
      </c>
      <c r="C11" s="108" t="s">
        <v>8</v>
      </c>
      <c r="D11" s="119">
        <f>IF($C$7=1,Sat_1!C10,IF($C$7=2,Sat_2!C10,IF($C$7=3,Sat_3!C10)))</f>
        <v>0.75194020164</v>
      </c>
      <c r="E11" s="109" t="s">
        <v>21</v>
      </c>
      <c r="F11" s="110">
        <f>D11*rho</f>
        <v>43.0830000001881</v>
      </c>
      <c r="G11" s="120" t="s">
        <v>81</v>
      </c>
    </row>
    <row r="12" spans="2:7" ht="16.5">
      <c r="B12" s="111" t="s">
        <v>10</v>
      </c>
      <c r="C12" s="108" t="s">
        <v>2</v>
      </c>
      <c r="D12" s="121">
        <f>IF($C$7=1,Sat_1!C7,IF($C$7=2,Sat_2!C7,IF($C$7=3,Sat_3!C7)))</f>
        <v>0.9394164886</v>
      </c>
      <c r="E12" s="113" t="s">
        <v>21</v>
      </c>
      <c r="F12" s="114">
        <f>D12*rho</f>
        <v>53.824600001779615</v>
      </c>
      <c r="G12" s="115" t="s">
        <v>81</v>
      </c>
    </row>
    <row r="13" spans="2:7" ht="12.75">
      <c r="B13" s="122" t="s">
        <v>11</v>
      </c>
      <c r="C13" s="108" t="s">
        <v>3</v>
      </c>
      <c r="D13" s="123">
        <f>IF($C$7=1,Sat_1!C11,IF($C$7=2,Sat_2!C11,IF($C$7=3,Sat_3!C11)))</f>
        <v>0.598455947</v>
      </c>
      <c r="E13" s="113" t="s">
        <v>21</v>
      </c>
      <c r="F13" s="114">
        <f>D13*rho</f>
        <v>34.28899998760488</v>
      </c>
      <c r="G13" s="115" t="s">
        <v>81</v>
      </c>
    </row>
    <row r="14" spans="2:7" ht="12.75" customHeight="1">
      <c r="B14" s="266"/>
      <c r="C14" s="268" t="s">
        <v>4</v>
      </c>
      <c r="D14" s="270">
        <f>IF($C$7=1,Sat_1!C8,IF($C$7=2,Sat_2!C8,IF($C$7=3,Sat_3!C8)))</f>
        <v>-8.0005892911E-09</v>
      </c>
      <c r="E14" s="274" t="s">
        <v>22</v>
      </c>
      <c r="F14" s="276">
        <f>D14*rho</f>
        <v>-4.583999999975932E-07</v>
      </c>
      <c r="G14" s="272" t="s">
        <v>85</v>
      </c>
    </row>
    <row r="15" spans="2:7" ht="12.75">
      <c r="B15" s="267"/>
      <c r="C15" s="269"/>
      <c r="D15" s="271"/>
      <c r="E15" s="275"/>
      <c r="F15" s="277"/>
      <c r="G15" s="273"/>
    </row>
    <row r="16" spans="2:11" ht="12.75">
      <c r="B16" s="284" t="s">
        <v>12</v>
      </c>
      <c r="C16" s="286" t="s">
        <v>5</v>
      </c>
      <c r="D16" s="125">
        <f>IF($C$7=1,Sat_1!F6,IF($C$7=2,Sat_2!F6,IF($C$7=3,Sat_3!F6)))</f>
        <v>0</v>
      </c>
      <c r="E16" s="124" t="s">
        <v>110</v>
      </c>
      <c r="F16" s="114"/>
      <c r="G16" s="115"/>
      <c r="H16" s="72"/>
      <c r="I16" s="69"/>
      <c r="J16" s="5"/>
      <c r="K16" s="5"/>
    </row>
    <row r="17" spans="2:11" ht="12.75">
      <c r="B17" s="284"/>
      <c r="C17" s="286"/>
      <c r="D17" s="125">
        <f>IF($C$7=1,Sat_1!H6,IF($C$7=2,Sat_2!H6,IF($C$7=3,Sat_3!H6)))</f>
        <v>13</v>
      </c>
      <c r="E17" s="124" t="s">
        <v>111</v>
      </c>
      <c r="F17" s="114"/>
      <c r="G17" s="115"/>
      <c r="H17" s="72"/>
      <c r="I17" s="69"/>
      <c r="J17" s="5"/>
      <c r="K17" s="5"/>
    </row>
    <row r="18" spans="2:11" ht="12.75" thickBot="1">
      <c r="B18" s="285"/>
      <c r="C18" s="287"/>
      <c r="D18" s="126">
        <f>IF($C$7=1,Sat_1!J6,IF($C$7=2,Sat_2!J6,IF($C$7=3,Sat_3!J6)))</f>
        <v>39.199999999999946</v>
      </c>
      <c r="E18" s="127" t="s">
        <v>112</v>
      </c>
      <c r="F18" s="128"/>
      <c r="G18" s="129"/>
      <c r="H18" s="72"/>
      <c r="I18" s="69"/>
      <c r="J18" s="5"/>
      <c r="K18" s="5"/>
    </row>
    <row r="19" spans="2:11" ht="12.75">
      <c r="B19" s="5"/>
      <c r="C19" s="5"/>
      <c r="E19" s="43"/>
      <c r="H19" s="5"/>
      <c r="I19" s="5"/>
      <c r="J19" s="5"/>
      <c r="K19" s="5"/>
    </row>
    <row r="20" spans="4:11" ht="12.75">
      <c r="D20" s="2"/>
      <c r="E20" s="43"/>
      <c r="H20" s="5"/>
      <c r="I20" s="5"/>
      <c r="J20" s="5"/>
      <c r="K20" s="5"/>
    </row>
    <row r="21" spans="2:11" ht="15.75">
      <c r="B21" s="290" t="s">
        <v>70</v>
      </c>
      <c r="C21" s="290"/>
      <c r="D21" s="290"/>
      <c r="H21" s="5"/>
      <c r="I21" s="5"/>
      <c r="J21" s="5"/>
      <c r="K21" s="5"/>
    </row>
    <row r="22" spans="2:4" ht="16.5" thickBot="1">
      <c r="B22" s="31"/>
      <c r="C22" s="31"/>
      <c r="D22" s="3"/>
    </row>
    <row r="23" spans="2:5" ht="12.75">
      <c r="B23" s="248" t="s">
        <v>33</v>
      </c>
      <c r="C23" s="249" t="s">
        <v>15</v>
      </c>
      <c r="D23" s="165">
        <f>'Sat-Sichtbarkeit'!E18</f>
        <v>0</v>
      </c>
      <c r="E23" s="55" t="s">
        <v>110</v>
      </c>
    </row>
    <row r="24" spans="2:5" ht="12.75" customHeight="1">
      <c r="B24" s="288"/>
      <c r="C24" s="289"/>
      <c r="D24" s="60">
        <f>'Sat-Sichtbarkeit'!E19</f>
        <v>1</v>
      </c>
      <c r="E24" s="56" t="s">
        <v>16</v>
      </c>
    </row>
    <row r="25" spans="2:5" ht="13.5" thickBot="1">
      <c r="B25" s="250"/>
      <c r="C25" s="251"/>
      <c r="D25" s="61">
        <f>'Sat-Sichtbarkeit'!E20</f>
        <v>50</v>
      </c>
      <c r="E25" s="57" t="s">
        <v>17</v>
      </c>
    </row>
    <row r="26" ht="13.5" thickBot="1"/>
    <row r="27" spans="2:5" ht="26.25" thickBot="1">
      <c r="B27" s="22" t="s">
        <v>14</v>
      </c>
      <c r="C27" s="23" t="s">
        <v>13</v>
      </c>
      <c r="D27" s="24">
        <f>(D23*3600*24+D24*60*60+D25*60)-(D16*3600*24+D17*60*60+D18*60)</f>
        <v>-42552</v>
      </c>
      <c r="E27" s="45" t="s">
        <v>40</v>
      </c>
    </row>
    <row r="30" spans="2:7" ht="12.75">
      <c r="B30" s="9" t="s">
        <v>18</v>
      </c>
      <c r="C30" s="11" t="s">
        <v>19</v>
      </c>
      <c r="D30" s="50">
        <f>SQRT(D4/((D10)^2)^3)</f>
        <v>0.00014586019745457807</v>
      </c>
      <c r="E30" s="49" t="s">
        <v>22</v>
      </c>
      <c r="F30" s="32">
        <f>D30*rho</f>
        <v>0.008357173713092157</v>
      </c>
      <c r="G30" s="33" t="s">
        <v>85</v>
      </c>
    </row>
    <row r="31" spans="2:7" ht="12.75">
      <c r="B31" s="9" t="s">
        <v>20</v>
      </c>
      <c r="C31" s="11" t="s">
        <v>0</v>
      </c>
      <c r="D31" s="47">
        <f>MOD(D8+D30*D27,2*PI())</f>
        <v>1.56794348419238</v>
      </c>
      <c r="E31" s="49" t="s">
        <v>21</v>
      </c>
      <c r="F31" s="32">
        <f>D31*rho</f>
        <v>89.83654415926068</v>
      </c>
      <c r="G31" s="33" t="s">
        <v>81</v>
      </c>
    </row>
    <row r="34" spans="2:7" ht="12.75">
      <c r="B34" s="278" t="s">
        <v>25</v>
      </c>
      <c r="C34" s="281" t="s">
        <v>41</v>
      </c>
      <c r="D34" s="51">
        <f>D31+D9*SIN(D31)</f>
        <v>1.5770574471042995</v>
      </c>
      <c r="E34" s="48"/>
      <c r="F34" s="32">
        <f aca="true" t="shared" si="0" ref="F34:F39">D34*rho</f>
        <v>90.35873576875244</v>
      </c>
      <c r="G34" s="33"/>
    </row>
    <row r="35" spans="2:7" ht="12.75">
      <c r="B35" s="279"/>
      <c r="C35" s="282"/>
      <c r="D35" s="51">
        <f aca="true" t="shared" si="1" ref="D35:D40">$D$31+$D$9*SIN(D34)</f>
        <v>1.577057305551147</v>
      </c>
      <c r="E35" s="49"/>
      <c r="F35" s="32">
        <f t="shared" si="0"/>
        <v>90.35872765835421</v>
      </c>
      <c r="G35" s="33"/>
    </row>
    <row r="36" spans="2:7" ht="12.75">
      <c r="B36" s="279"/>
      <c r="C36" s="282"/>
      <c r="D36" s="51">
        <f t="shared" si="1"/>
        <v>1.5770573055592245</v>
      </c>
      <c r="E36" s="49"/>
      <c r="F36" s="32">
        <f t="shared" si="0"/>
        <v>90.35872765881703</v>
      </c>
      <c r="G36" s="33"/>
    </row>
    <row r="37" spans="2:7" ht="12.75">
      <c r="B37" s="279"/>
      <c r="C37" s="282"/>
      <c r="D37" s="51">
        <f t="shared" si="1"/>
        <v>1.5770573055592239</v>
      </c>
      <c r="E37" s="49"/>
      <c r="F37" s="32">
        <f t="shared" si="0"/>
        <v>90.35872765881699</v>
      </c>
      <c r="G37" s="33"/>
    </row>
    <row r="38" spans="2:7" ht="12.75">
      <c r="B38" s="279"/>
      <c r="C38" s="282"/>
      <c r="D38" s="51">
        <f t="shared" si="1"/>
        <v>1.5770573055592239</v>
      </c>
      <c r="E38" s="49"/>
      <c r="F38" s="32">
        <f t="shared" si="0"/>
        <v>90.35872765881699</v>
      </c>
      <c r="G38" s="33"/>
    </row>
    <row r="39" spans="2:7" ht="12.75">
      <c r="B39" s="279"/>
      <c r="C39" s="282"/>
      <c r="D39" s="51">
        <f t="shared" si="1"/>
        <v>1.5770573055592239</v>
      </c>
      <c r="E39" s="49"/>
      <c r="F39" s="32">
        <f t="shared" si="0"/>
        <v>90.35872765881699</v>
      </c>
      <c r="G39" s="33"/>
    </row>
    <row r="40" spans="2:7" ht="12.75">
      <c r="B40" s="280"/>
      <c r="C40" s="283"/>
      <c r="D40" s="51">
        <f t="shared" si="1"/>
        <v>1.5770573055592239</v>
      </c>
      <c r="E40" s="49" t="s">
        <v>21</v>
      </c>
      <c r="F40" s="32">
        <f>D40*rho</f>
        <v>90.35872765881699</v>
      </c>
      <c r="G40" s="33" t="s">
        <v>81</v>
      </c>
    </row>
    <row r="42" spans="2:7" ht="16.5">
      <c r="B42" s="9" t="s">
        <v>42</v>
      </c>
      <c r="C42" s="25" t="s">
        <v>44</v>
      </c>
      <c r="D42" s="39">
        <f>D10^2*(COS(D40)-D9)</f>
        <v>-408352.0913335437</v>
      </c>
      <c r="E42" s="48" t="s">
        <v>24</v>
      </c>
      <c r="F42" s="46"/>
      <c r="G42" s="5"/>
    </row>
    <row r="43" spans="2:7" ht="16.5">
      <c r="B43" s="9" t="s">
        <v>43</v>
      </c>
      <c r="C43" s="25" t="s">
        <v>44</v>
      </c>
      <c r="D43" s="39">
        <f>D10^2*SQRT(1-D9^2)*SIN(D40)</f>
        <v>26557969.308074288</v>
      </c>
      <c r="E43" s="49" t="s">
        <v>24</v>
      </c>
      <c r="F43" s="35"/>
      <c r="G43" s="42"/>
    </row>
    <row r="44" spans="2:7" ht="12.75">
      <c r="B44" s="10" t="s">
        <v>39</v>
      </c>
      <c r="C44" s="11" t="s">
        <v>26</v>
      </c>
      <c r="D44" s="32">
        <f>ATAN2(D42,D43)</f>
        <v>1.586170993081239</v>
      </c>
      <c r="E44" s="49" t="s">
        <v>21</v>
      </c>
      <c r="F44" s="35">
        <f>D44*rho</f>
        <v>90.8809034896295</v>
      </c>
      <c r="G44" s="52" t="s">
        <v>81</v>
      </c>
    </row>
    <row r="46" spans="2:7" ht="37.5">
      <c r="B46" s="156" t="s">
        <v>27</v>
      </c>
      <c r="C46" s="152" t="s">
        <v>74</v>
      </c>
      <c r="D46" s="157">
        <f>D44+D13</f>
        <v>2.1846269400812393</v>
      </c>
      <c r="E46" s="158" t="s">
        <v>21</v>
      </c>
      <c r="F46" s="159">
        <f>D46*rho</f>
        <v>125.16990347723439</v>
      </c>
      <c r="G46" s="160" t="s">
        <v>81</v>
      </c>
    </row>
    <row r="47" spans="2:5" ht="12.75">
      <c r="B47" s="5"/>
      <c r="C47" s="5"/>
      <c r="D47" s="5"/>
      <c r="E47" s="44"/>
    </row>
    <row r="48" spans="2:5" ht="16.5">
      <c r="B48" s="9" t="s">
        <v>29</v>
      </c>
      <c r="C48" s="156" t="s">
        <v>28</v>
      </c>
      <c r="D48" s="39">
        <f>D10^2*(1-D9*COS(D38))</f>
        <v>26561108.508477435</v>
      </c>
      <c r="E48" s="151" t="s">
        <v>24</v>
      </c>
    </row>
    <row r="49" ht="12.75">
      <c r="E49" s="48"/>
    </row>
    <row r="50" spans="2:5" ht="16.5">
      <c r="B50" s="9" t="s">
        <v>45</v>
      </c>
      <c r="C50" s="25" t="s">
        <v>44</v>
      </c>
      <c r="D50" s="39">
        <f>D48*COS(D46)</f>
        <v>-15299278.290476218</v>
      </c>
      <c r="E50" s="151" t="s">
        <v>24</v>
      </c>
    </row>
    <row r="51" spans="2:7" ht="16.5">
      <c r="B51" s="9" t="s">
        <v>46</v>
      </c>
      <c r="C51" s="25" t="s">
        <v>44</v>
      </c>
      <c r="D51" s="39">
        <f>D48*SIN(D46)</f>
        <v>21712313.7640758</v>
      </c>
      <c r="E51" s="151" t="s">
        <v>24</v>
      </c>
      <c r="F51" s="5"/>
      <c r="G51" s="5"/>
    </row>
    <row r="52" spans="5:8" ht="12.75">
      <c r="E52" s="5"/>
      <c r="F52" s="5"/>
      <c r="G52" s="5"/>
      <c r="H52" s="5"/>
    </row>
    <row r="53" spans="2:8" ht="12.75">
      <c r="B53" s="20" t="s">
        <v>30</v>
      </c>
      <c r="C53" s="7" t="s">
        <v>31</v>
      </c>
      <c r="D53" s="50">
        <f>MOD((D11+(D14-D5)*D27-D5*(D16*24*60+D17*60+D18)*60),2*PI())</f>
        <v>0.2710010527155151</v>
      </c>
      <c r="E53" s="151" t="s">
        <v>21</v>
      </c>
      <c r="F53" s="32">
        <f>D53*rho</f>
        <v>15.527216564201353</v>
      </c>
      <c r="G53" s="33" t="s">
        <v>81</v>
      </c>
      <c r="H53" s="5"/>
    </row>
    <row r="54" spans="2:8" ht="12.75">
      <c r="B54" s="1"/>
      <c r="E54" s="44"/>
      <c r="F54" s="5"/>
      <c r="G54" s="5"/>
      <c r="H54" s="5"/>
    </row>
    <row r="55" spans="2:8" ht="16.5">
      <c r="B55" s="9" t="s">
        <v>10</v>
      </c>
      <c r="C55" s="156" t="s">
        <v>32</v>
      </c>
      <c r="D55" s="51">
        <f>D12</f>
        <v>0.9394164886</v>
      </c>
      <c r="E55" s="151" t="s">
        <v>21</v>
      </c>
      <c r="F55" s="32">
        <f>D55*rho</f>
        <v>53.824600001779615</v>
      </c>
      <c r="G55" s="33" t="s">
        <v>81</v>
      </c>
      <c r="H55" s="5"/>
    </row>
    <row r="56" spans="5:8" ht="12.75" thickBot="1">
      <c r="E56" s="5"/>
      <c r="F56" s="5"/>
      <c r="G56" s="5"/>
      <c r="H56" s="5"/>
    </row>
    <row r="57" spans="2:8" ht="12.75" thickBot="1">
      <c r="B57" s="220" t="s">
        <v>79</v>
      </c>
      <c r="C57" s="221"/>
      <c r="D57" s="221"/>
      <c r="E57" s="222"/>
      <c r="F57" s="5"/>
      <c r="G57" s="5"/>
      <c r="H57" s="5"/>
    </row>
    <row r="58" spans="2:8" ht="17.25" thickTop="1">
      <c r="B58" s="15" t="s">
        <v>71</v>
      </c>
      <c r="C58" s="19"/>
      <c r="D58" s="28">
        <f>D50*COS(D53)-D51*COS(D55)*SIN(D53)</f>
        <v>-18171670.756423436</v>
      </c>
      <c r="E58" s="62" t="s">
        <v>24</v>
      </c>
      <c r="F58" s="5"/>
      <c r="G58" s="5"/>
      <c r="H58" s="5"/>
    </row>
    <row r="59" spans="2:8" ht="16.5">
      <c r="B59" s="12" t="s">
        <v>72</v>
      </c>
      <c r="C59" s="11"/>
      <c r="D59" s="21">
        <f>D50*SIN(D53)+D51*COS(D55)*COS(D53)</f>
        <v>8252598.32476199</v>
      </c>
      <c r="E59" s="63" t="s">
        <v>24</v>
      </c>
      <c r="F59" s="5"/>
      <c r="G59" s="5"/>
      <c r="H59" s="5"/>
    </row>
    <row r="60" spans="2:8" ht="17.25" thickBot="1">
      <c r="B60" s="27" t="s">
        <v>73</v>
      </c>
      <c r="C60" s="18"/>
      <c r="D60" s="26">
        <f>D51*SIN(D55)</f>
        <v>17526479.62396879</v>
      </c>
      <c r="E60" s="64" t="s">
        <v>24</v>
      </c>
      <c r="F60" s="5"/>
      <c r="G60" s="5"/>
      <c r="H60" s="5"/>
    </row>
    <row r="61" spans="5:8" ht="12.75">
      <c r="E61" s="5"/>
      <c r="F61" s="5"/>
      <c r="G61" s="5"/>
      <c r="H61" s="5"/>
    </row>
    <row r="62" spans="2:8" ht="12.75">
      <c r="B62" s="1"/>
      <c r="E62" s="44"/>
      <c r="F62" s="5"/>
      <c r="G62" s="5"/>
      <c r="H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44"/>
      <c r="F66" s="5"/>
      <c r="G66" s="5"/>
    </row>
    <row r="67" ht="36" customHeight="1"/>
    <row r="68" ht="12.75">
      <c r="E68" s="44"/>
    </row>
    <row r="69" spans="1:6" ht="12.75">
      <c r="A69" s="32"/>
      <c r="D69" s="5"/>
      <c r="E69" s="5"/>
      <c r="F69" s="5"/>
    </row>
    <row r="70" spans="4:10" ht="12.75">
      <c r="D70" s="5"/>
      <c r="E70" s="5"/>
      <c r="F70" s="5"/>
      <c r="J70" s="65"/>
    </row>
    <row r="71" spans="4:10" ht="12.75">
      <c r="D71" s="5"/>
      <c r="E71" s="5"/>
      <c r="F71" s="5"/>
      <c r="J71" s="68"/>
    </row>
    <row r="72" spans="4:10" ht="12.75">
      <c r="D72" s="5"/>
      <c r="E72" s="5"/>
      <c r="F72" s="5"/>
      <c r="J72" s="66"/>
    </row>
    <row r="73" spans="4:10" ht="12.75">
      <c r="D73" s="5"/>
      <c r="E73" s="44"/>
      <c r="F73" s="5"/>
      <c r="G73" s="5"/>
      <c r="H73" s="5"/>
      <c r="J73" s="67"/>
    </row>
    <row r="75" spans="5:10" ht="12.75">
      <c r="E75" s="44"/>
      <c r="J75" s="65"/>
    </row>
    <row r="76" spans="4:10" ht="12.75">
      <c r="D76" s="5"/>
      <c r="E76" s="44"/>
      <c r="F76" s="5"/>
      <c r="G76" s="5"/>
      <c r="H76" s="5"/>
      <c r="J76" s="2"/>
    </row>
    <row r="77" spans="4:10" ht="12.75">
      <c r="D77" s="5"/>
      <c r="E77" s="5"/>
      <c r="F77" s="5"/>
      <c r="G77" s="5"/>
      <c r="H77" s="5"/>
      <c r="J77" s="2"/>
    </row>
    <row r="78" spans="4:8" ht="12.75">
      <c r="D78" s="5"/>
      <c r="E78" s="5"/>
      <c r="F78" s="5"/>
      <c r="G78" s="5"/>
      <c r="H78" s="5"/>
    </row>
    <row r="79" spans="4:8" ht="12.75">
      <c r="D79" s="5"/>
      <c r="E79" s="5"/>
      <c r="F79" s="5"/>
      <c r="G79" s="5"/>
      <c r="H79" s="5"/>
    </row>
    <row r="84" ht="12.75">
      <c r="D84" s="4"/>
    </row>
  </sheetData>
  <sheetProtection/>
  <mergeCells count="15">
    <mergeCell ref="B57:E57"/>
    <mergeCell ref="B34:B40"/>
    <mergeCell ref="C34:C40"/>
    <mergeCell ref="B16:B18"/>
    <mergeCell ref="C16:C18"/>
    <mergeCell ref="B23:B25"/>
    <mergeCell ref="C23:C25"/>
    <mergeCell ref="B21:D21"/>
    <mergeCell ref="B14:B15"/>
    <mergeCell ref="C14:C15"/>
    <mergeCell ref="D14:D15"/>
    <mergeCell ref="B3:G3"/>
    <mergeCell ref="G14:G15"/>
    <mergeCell ref="E14:E15"/>
    <mergeCell ref="F14:F1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6"/>
  <headerFooter alignWithMargins="0">
    <oddHeader>&amp;CBerechnung von Satellitenkoordinaten aus GPS - Ephemeriden&amp;R&amp;P/&amp;N</oddHeader>
  </headerFooter>
  <drawing r:id="rId5"/>
  <legacyDrawing r:id="rId4"/>
  <oleObjects>
    <oleObject progId="Equation.3" shapeId="64510" r:id="rId1"/>
    <oleObject progId="Equation.3" shapeId="101992" r:id="rId2"/>
    <oleObject progId="CorelDRAW.Graphic.10" shapeId="459491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1">
      <selection activeCell="D23" sqref="D23"/>
    </sheetView>
  </sheetViews>
  <sheetFormatPr defaultColWidth="11.421875" defaultRowHeight="12.75"/>
  <cols>
    <col min="2" max="2" width="28.140625" style="0" customWidth="1"/>
    <col min="3" max="4" width="15.8515625" style="0" customWidth="1"/>
    <col min="5" max="5" width="10.140625" style="0" customWidth="1"/>
    <col min="6" max="6" width="9.8515625" style="0" customWidth="1"/>
    <col min="7" max="7" width="12.28125" style="0" customWidth="1"/>
    <col min="8" max="8" width="7.28125" style="0" customWidth="1"/>
    <col min="11" max="11" width="20.8515625" style="0" customWidth="1"/>
  </cols>
  <sheetData>
    <row r="1" ht="12.75">
      <c r="B1" s="150"/>
    </row>
    <row r="2" spans="1:13" ht="12.75">
      <c r="A2" s="137"/>
      <c r="B2" t="s">
        <v>121</v>
      </c>
      <c r="E2" s="292" t="s">
        <v>122</v>
      </c>
      <c r="F2" s="292"/>
      <c r="G2" s="292"/>
      <c r="H2" s="292"/>
      <c r="I2" s="292"/>
      <c r="J2" s="292"/>
      <c r="K2" s="292"/>
      <c r="L2" s="292"/>
      <c r="M2" s="292"/>
    </row>
    <row r="3" spans="1:10" ht="12.75">
      <c r="A3" s="137"/>
      <c r="B3" t="s">
        <v>95</v>
      </c>
      <c r="C3">
        <v>8</v>
      </c>
      <c r="F3" s="146"/>
      <c r="G3" s="146"/>
      <c r="H3" s="146"/>
      <c r="I3" s="146"/>
      <c r="J3" s="137"/>
    </row>
    <row r="4" spans="1:10" ht="12.75">
      <c r="A4" s="137"/>
      <c r="B4" t="s">
        <v>96</v>
      </c>
      <c r="C4">
        <v>0</v>
      </c>
      <c r="F4" s="147"/>
      <c r="G4" s="147"/>
      <c r="H4" s="146"/>
      <c r="I4" s="146"/>
      <c r="J4" s="137"/>
    </row>
    <row r="5" spans="1:10" ht="12.75">
      <c r="A5" s="137">
        <v>1</v>
      </c>
      <c r="B5" t="s">
        <v>98</v>
      </c>
      <c r="C5" s="154">
        <v>0.010955</v>
      </c>
      <c r="D5" s="154"/>
      <c r="F5" s="147"/>
      <c r="G5" s="147"/>
      <c r="H5" s="146"/>
      <c r="I5" s="146"/>
      <c r="J5" s="137"/>
    </row>
    <row r="6" spans="1:11" ht="12.75">
      <c r="A6" s="137">
        <v>2</v>
      </c>
      <c r="B6" t="s">
        <v>99</v>
      </c>
      <c r="C6">
        <v>49152</v>
      </c>
      <c r="E6" s="209" t="s">
        <v>110</v>
      </c>
      <c r="F6" s="210">
        <f>ROUNDDOWN(F7,0)</f>
        <v>0</v>
      </c>
      <c r="G6" s="209" t="s">
        <v>111</v>
      </c>
      <c r="H6" s="211">
        <f>ROUNDDOWN(H7,0)</f>
        <v>13</v>
      </c>
      <c r="I6" s="212" t="s">
        <v>112</v>
      </c>
      <c r="J6" s="211">
        <f>(H7-H6)*60</f>
        <v>39.199999999999946</v>
      </c>
      <c r="K6" s="204"/>
    </row>
    <row r="7" spans="1:11" ht="12.75">
      <c r="A7" s="137">
        <v>3</v>
      </c>
      <c r="B7" t="s">
        <v>100</v>
      </c>
      <c r="C7">
        <v>0.992099252</v>
      </c>
      <c r="F7" s="205">
        <f>(C6/(60*60*24))</f>
        <v>0.5688888888888889</v>
      </c>
      <c r="H7" s="203">
        <f>(F7-F6)*24</f>
        <v>13.653333333333332</v>
      </c>
      <c r="I7" s="204"/>
      <c r="J7" s="207">
        <f>(H7-H6)*60</f>
        <v>39.199999999999946</v>
      </c>
      <c r="K7" s="204"/>
    </row>
    <row r="8" spans="1:11" ht="12.75">
      <c r="A8" s="137">
        <v>4</v>
      </c>
      <c r="B8" t="s">
        <v>101</v>
      </c>
      <c r="C8" s="154">
        <v>-7.6794487088E-09</v>
      </c>
      <c r="D8" s="154"/>
      <c r="E8" s="207"/>
      <c r="F8" s="206"/>
      <c r="H8" s="207"/>
      <c r="I8" s="207"/>
      <c r="J8" s="207"/>
      <c r="K8" s="204"/>
    </row>
    <row r="9" spans="1:11" ht="12.75">
      <c r="A9" s="137">
        <v>5</v>
      </c>
      <c r="B9" t="s">
        <v>102</v>
      </c>
      <c r="C9">
        <v>5153.7</v>
      </c>
      <c r="E9" s="204"/>
      <c r="F9" s="208"/>
      <c r="G9" s="203">
        <f>F6*60*60*24+H6*60*60+J6*60</f>
        <v>49152</v>
      </c>
      <c r="H9" s="207"/>
      <c r="I9" s="207"/>
      <c r="J9" s="207"/>
      <c r="K9" s="204"/>
    </row>
    <row r="10" spans="1:10" ht="12.75">
      <c r="A10" s="137">
        <v>6</v>
      </c>
      <c r="B10" t="s">
        <v>103</v>
      </c>
      <c r="C10" s="154">
        <v>-2.3238709924</v>
      </c>
      <c r="D10" s="154"/>
      <c r="H10" s="146"/>
      <c r="I10" s="146"/>
      <c r="J10" s="137"/>
    </row>
    <row r="11" spans="1:10" ht="12.75">
      <c r="A11" s="137">
        <v>7</v>
      </c>
      <c r="B11" t="s">
        <v>104</v>
      </c>
      <c r="C11">
        <v>3.091047918</v>
      </c>
      <c r="E11" s="161"/>
      <c r="G11" s="146"/>
      <c r="H11" s="146"/>
      <c r="I11" s="146"/>
      <c r="J11" s="137"/>
    </row>
    <row r="12" spans="1:10" ht="12.75">
      <c r="A12" s="137"/>
      <c r="B12" t="s">
        <v>105</v>
      </c>
      <c r="C12" s="154">
        <v>2.4892758457</v>
      </c>
      <c r="D12" s="154"/>
      <c r="G12" s="146"/>
      <c r="H12" s="146"/>
      <c r="I12" s="146"/>
      <c r="J12" s="137"/>
    </row>
    <row r="13" spans="1:10" ht="12.75">
      <c r="A13" s="137"/>
      <c r="B13" t="s">
        <v>106</v>
      </c>
      <c r="C13" s="154">
        <v>3.8147E-06</v>
      </c>
      <c r="D13" s="154"/>
      <c r="G13" s="146"/>
      <c r="H13" s="146"/>
      <c r="I13" s="146"/>
      <c r="J13" s="137"/>
    </row>
    <row r="14" spans="1:10" ht="12.75">
      <c r="A14" s="137">
        <v>1</v>
      </c>
      <c r="B14" t="s">
        <v>107</v>
      </c>
      <c r="C14" s="154">
        <v>0</v>
      </c>
      <c r="D14" s="154"/>
      <c r="G14" s="146"/>
      <c r="H14" s="146"/>
      <c r="I14" s="146"/>
      <c r="J14" s="137"/>
    </row>
    <row r="15" spans="1:10" ht="12.75">
      <c r="A15" s="137">
        <v>2</v>
      </c>
      <c r="B15" t="s">
        <v>108</v>
      </c>
      <c r="C15">
        <v>550</v>
      </c>
      <c r="F15" s="146"/>
      <c r="G15" s="146"/>
      <c r="H15" s="146"/>
      <c r="I15" s="146"/>
      <c r="J15" s="137"/>
    </row>
    <row r="16" spans="1:10" ht="12.75">
      <c r="A16" s="137">
        <v>3</v>
      </c>
      <c r="B16" s="137"/>
      <c r="C16" s="146"/>
      <c r="D16" s="146"/>
      <c r="E16" s="146"/>
      <c r="F16" s="146"/>
      <c r="G16" s="146"/>
      <c r="H16" s="146"/>
      <c r="I16" s="146"/>
      <c r="J16" s="137"/>
    </row>
    <row r="17" spans="1:10" ht="12.75">
      <c r="A17" s="137">
        <v>4</v>
      </c>
      <c r="B17" s="137"/>
      <c r="C17" s="146"/>
      <c r="D17" s="146"/>
      <c r="E17" s="146"/>
      <c r="F17" s="146"/>
      <c r="G17" s="146"/>
      <c r="H17" s="146"/>
      <c r="I17" s="146"/>
      <c r="J17" s="137"/>
    </row>
    <row r="18" spans="1:10" ht="12.75">
      <c r="A18" s="137">
        <v>5</v>
      </c>
      <c r="B18" s="137"/>
      <c r="C18" s="146"/>
      <c r="D18" s="146"/>
      <c r="E18" s="146"/>
      <c r="F18" s="146"/>
      <c r="G18" s="146"/>
      <c r="H18" s="146"/>
      <c r="I18" s="146"/>
      <c r="J18" s="137"/>
    </row>
    <row r="19" spans="1:10" ht="12.75">
      <c r="A19" s="137">
        <v>6</v>
      </c>
      <c r="B19" s="137"/>
      <c r="C19" s="146"/>
      <c r="D19" s="146"/>
      <c r="E19" s="146"/>
      <c r="G19" s="146"/>
      <c r="H19" s="146"/>
      <c r="I19" s="146"/>
      <c r="J19" s="137"/>
    </row>
    <row r="20" spans="1:10" ht="12.75" customHeight="1">
      <c r="A20" s="137">
        <v>7</v>
      </c>
      <c r="B20" s="137"/>
      <c r="C20" s="291"/>
      <c r="D20" t="s">
        <v>123</v>
      </c>
      <c r="E20" s="146"/>
      <c r="F20" s="146"/>
      <c r="G20" s="146"/>
      <c r="H20" s="146"/>
      <c r="I20" s="146"/>
      <c r="J20" s="137"/>
    </row>
    <row r="21" spans="1:10" ht="12.75">
      <c r="A21" s="137"/>
      <c r="B21" s="137"/>
      <c r="C21" s="291"/>
      <c r="D21" s="153"/>
      <c r="E21" s="146"/>
      <c r="F21" s="146"/>
      <c r="G21" s="146"/>
      <c r="H21" s="146"/>
      <c r="I21" s="146"/>
      <c r="J21" s="137"/>
    </row>
    <row r="22" spans="1:10" ht="12.75">
      <c r="A22" s="137"/>
      <c r="B22" s="137"/>
      <c r="C22" s="146"/>
      <c r="D22" s="146"/>
      <c r="E22" s="146"/>
      <c r="F22" s="146"/>
      <c r="G22" s="146"/>
      <c r="H22" s="146"/>
      <c r="I22" s="146"/>
      <c r="J22" s="137"/>
    </row>
    <row r="23" spans="1:10" ht="12.75">
      <c r="A23" s="137"/>
      <c r="B23" s="137"/>
      <c r="C23" s="146"/>
      <c r="D23" s="146"/>
      <c r="E23" s="146"/>
      <c r="F23" s="146"/>
      <c r="G23" s="146"/>
      <c r="H23" s="146"/>
      <c r="I23" s="146"/>
      <c r="J23" s="137"/>
    </row>
    <row r="24" spans="3:9" ht="12.75">
      <c r="C24" s="150"/>
      <c r="D24" s="150"/>
      <c r="E24" s="150"/>
      <c r="F24" s="150"/>
      <c r="G24" s="150"/>
      <c r="H24" s="150"/>
      <c r="I24" s="150"/>
    </row>
  </sheetData>
  <sheetProtection/>
  <mergeCells count="2">
    <mergeCell ref="C20:C21"/>
    <mergeCell ref="E2:M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H19" sqref="H19"/>
    </sheetView>
  </sheetViews>
  <sheetFormatPr defaultColWidth="11.421875" defaultRowHeight="12.75"/>
  <cols>
    <col min="3" max="3" width="17.140625" style="0" customWidth="1"/>
    <col min="4" max="4" width="14.28125" style="0" customWidth="1"/>
    <col min="5" max="5" width="15.140625" style="0" customWidth="1"/>
    <col min="6" max="6" width="17.421875" style="0" customWidth="1"/>
    <col min="10" max="10" width="21.140625" style="0" customWidth="1"/>
  </cols>
  <sheetData>
    <row r="2" spans="1:8" ht="12.75">
      <c r="A2" s="137"/>
      <c r="B2" s="146"/>
      <c r="C2" s="146"/>
      <c r="D2" s="146"/>
      <c r="E2" s="146"/>
      <c r="F2" s="146"/>
      <c r="G2" s="146"/>
      <c r="H2" s="146"/>
    </row>
    <row r="3" spans="1:8" ht="12.75">
      <c r="A3" s="137"/>
      <c r="B3" t="s">
        <v>95</v>
      </c>
      <c r="C3">
        <v>18</v>
      </c>
      <c r="D3" s="146"/>
      <c r="E3" s="146"/>
      <c r="F3" s="146"/>
      <c r="G3" s="146"/>
      <c r="H3" s="146"/>
    </row>
    <row r="4" spans="1:8" ht="12.75">
      <c r="A4" s="137"/>
      <c r="B4" t="s">
        <v>96</v>
      </c>
      <c r="C4">
        <v>0</v>
      </c>
      <c r="D4" s="147"/>
      <c r="E4" s="147"/>
      <c r="F4" s="147"/>
      <c r="G4" s="147"/>
      <c r="H4" s="146"/>
    </row>
    <row r="5" spans="1:8" ht="12.75" thickBot="1">
      <c r="A5" s="137">
        <v>1</v>
      </c>
      <c r="B5" t="s">
        <v>98</v>
      </c>
      <c r="C5">
        <v>0.011006</v>
      </c>
      <c r="D5" s="148"/>
      <c r="E5" s="147"/>
      <c r="F5" s="147"/>
      <c r="G5" s="147"/>
      <c r="H5" s="146"/>
    </row>
    <row r="6" spans="1:10" ht="12.75" thickBot="1">
      <c r="A6" s="137">
        <v>2</v>
      </c>
      <c r="B6" t="s">
        <v>99</v>
      </c>
      <c r="C6">
        <v>49152</v>
      </c>
      <c r="D6" s="147"/>
      <c r="E6" s="162" t="s">
        <v>110</v>
      </c>
      <c r="F6" s="178">
        <f>ROUNDDOWN(E7,0)</f>
        <v>0</v>
      </c>
      <c r="G6" s="162" t="s">
        <v>111</v>
      </c>
      <c r="H6" s="179">
        <f>ROUNDDOWN(G7,0)</f>
        <v>13</v>
      </c>
      <c r="I6" s="163" t="s">
        <v>112</v>
      </c>
      <c r="J6" s="180">
        <f>(G7-H6)*60</f>
        <v>39.199999999999946</v>
      </c>
    </row>
    <row r="7" spans="1:10" ht="12.75" thickBot="1">
      <c r="A7" s="137">
        <v>3</v>
      </c>
      <c r="B7" t="s">
        <v>100</v>
      </c>
      <c r="C7">
        <v>0.938055132</v>
      </c>
      <c r="D7" s="147"/>
      <c r="E7" s="164">
        <f>(C6/(60*60*24))</f>
        <v>0.5688888888888889</v>
      </c>
      <c r="F7" s="147"/>
      <c r="G7" s="148">
        <f>(E7-F6)*24</f>
        <v>13.653333333333332</v>
      </c>
      <c r="H7" s="146"/>
      <c r="J7" s="137">
        <f>(G7-H6)*60</f>
        <v>39.199999999999946</v>
      </c>
    </row>
    <row r="8" spans="1:10" ht="12.75">
      <c r="A8" s="137">
        <v>4</v>
      </c>
      <c r="B8" t="s">
        <v>101</v>
      </c>
      <c r="C8" s="154">
        <v>-8.08087E-09</v>
      </c>
      <c r="D8" s="147"/>
      <c r="E8" s="146"/>
      <c r="F8" s="147"/>
      <c r="G8" s="148">
        <f>F6*60*60*24+H6*60*60+J6*60</f>
        <v>49152</v>
      </c>
      <c r="H8" s="146"/>
      <c r="I8" s="146"/>
      <c r="J8" s="137"/>
    </row>
    <row r="9" spans="1:8" ht="12.75">
      <c r="A9" s="137">
        <v>5</v>
      </c>
      <c r="B9" t="s">
        <v>102</v>
      </c>
      <c r="C9">
        <v>5153.6</v>
      </c>
      <c r="D9" s="149"/>
      <c r="E9" s="149"/>
      <c r="F9" s="149"/>
      <c r="G9" s="149"/>
      <c r="H9" s="146"/>
    </row>
    <row r="10" spans="1:8" ht="12.75">
      <c r="A10" s="137">
        <v>6</v>
      </c>
      <c r="B10" t="s">
        <v>103</v>
      </c>
      <c r="C10">
        <v>1.820849649</v>
      </c>
      <c r="D10" s="149"/>
      <c r="E10" s="147"/>
      <c r="F10" s="147"/>
      <c r="G10" s="147"/>
      <c r="H10" s="146"/>
    </row>
    <row r="11" spans="1:8" ht="12.75">
      <c r="A11" s="137">
        <v>7</v>
      </c>
      <c r="B11" t="s">
        <v>104</v>
      </c>
      <c r="C11">
        <v>-2.350260371</v>
      </c>
      <c r="D11" s="146"/>
      <c r="E11" s="146"/>
      <c r="F11" s="146"/>
      <c r="G11" s="146"/>
      <c r="H11" s="146"/>
    </row>
    <row r="12" spans="1:8" ht="12.75">
      <c r="A12" s="137"/>
      <c r="B12" t="s">
        <v>105</v>
      </c>
      <c r="C12">
        <v>1.057512447</v>
      </c>
      <c r="D12" s="146"/>
      <c r="E12" s="146"/>
      <c r="F12" s="146"/>
      <c r="G12" s="146"/>
      <c r="H12" s="146"/>
    </row>
    <row r="13" spans="1:8" ht="12.75">
      <c r="A13" s="137"/>
      <c r="B13" t="s">
        <v>106</v>
      </c>
      <c r="C13" s="154">
        <v>5.34058E-05</v>
      </c>
      <c r="D13" s="147"/>
      <c r="E13" s="146"/>
      <c r="F13" s="146"/>
      <c r="G13" s="146"/>
      <c r="H13" s="146"/>
    </row>
    <row r="14" spans="1:8" ht="12.75">
      <c r="A14" s="137"/>
      <c r="B14" t="s">
        <v>107</v>
      </c>
      <c r="C14">
        <v>0</v>
      </c>
      <c r="D14" s="146"/>
      <c r="E14" s="146"/>
      <c r="F14" s="146"/>
      <c r="G14" s="146"/>
      <c r="H14" s="146"/>
    </row>
    <row r="15" spans="1:8" ht="12.75">
      <c r="A15" s="137">
        <v>1</v>
      </c>
      <c r="B15" s="146"/>
      <c r="C15" s="146"/>
      <c r="D15" s="146"/>
      <c r="E15" s="146"/>
      <c r="F15" s="146"/>
      <c r="G15" s="146"/>
      <c r="H15" s="146"/>
    </row>
    <row r="16" spans="1:11" ht="12.75">
      <c r="A16" s="137">
        <v>2</v>
      </c>
      <c r="B16" s="146"/>
      <c r="C16" s="146"/>
      <c r="D16" s="146"/>
      <c r="E16" s="146"/>
      <c r="F16" s="146"/>
      <c r="G16" s="146"/>
      <c r="H16" s="146"/>
      <c r="J16" t="s">
        <v>108</v>
      </c>
      <c r="K16">
        <v>550</v>
      </c>
    </row>
    <row r="17" spans="1:8" ht="12.75">
      <c r="A17" s="137">
        <v>3</v>
      </c>
      <c r="B17" s="146"/>
      <c r="C17" s="146"/>
      <c r="D17" s="146"/>
      <c r="E17" s="146"/>
      <c r="F17" s="146"/>
      <c r="G17" s="146"/>
      <c r="H17" s="146"/>
    </row>
    <row r="18" spans="1:8" ht="12.75">
      <c r="A18" s="137">
        <v>4</v>
      </c>
      <c r="B18" s="146"/>
      <c r="C18" s="146"/>
      <c r="D18" s="146"/>
      <c r="E18" s="146"/>
      <c r="F18" s="146"/>
      <c r="G18" s="146"/>
      <c r="H18" s="146"/>
    </row>
    <row r="19" spans="1:8" ht="12.75">
      <c r="A19" s="137">
        <v>5</v>
      </c>
      <c r="B19" s="146"/>
      <c r="C19" s="146"/>
      <c r="D19" s="146"/>
      <c r="E19" s="146"/>
      <c r="F19" s="146"/>
      <c r="G19" s="146"/>
      <c r="H19" s="146"/>
    </row>
    <row r="20" spans="1:8" ht="12.75">
      <c r="A20" s="137">
        <v>6</v>
      </c>
      <c r="B20" s="146"/>
      <c r="C20" s="146"/>
      <c r="D20" s="146"/>
      <c r="E20" s="146"/>
      <c r="F20" s="146"/>
      <c r="G20" s="146"/>
      <c r="H20" s="146"/>
    </row>
    <row r="21" spans="1:8" ht="12.75">
      <c r="A21" s="137">
        <v>7</v>
      </c>
      <c r="B21" s="146"/>
      <c r="C21" s="291"/>
      <c r="D21" s="146"/>
      <c r="E21" s="146"/>
      <c r="F21" s="146"/>
      <c r="G21" s="146"/>
      <c r="H21" s="146"/>
    </row>
    <row r="22" spans="1:8" ht="12.75">
      <c r="A22" s="137"/>
      <c r="B22" s="146"/>
      <c r="C22" s="291"/>
      <c r="D22" s="146"/>
      <c r="E22" s="146"/>
      <c r="F22" s="146"/>
      <c r="G22" s="146"/>
      <c r="H22" s="146"/>
    </row>
    <row r="23" spans="1:8" ht="12.75">
      <c r="A23" s="137"/>
      <c r="B23" s="146"/>
      <c r="C23" s="146"/>
      <c r="D23" s="146"/>
      <c r="E23" s="146"/>
      <c r="F23" s="146"/>
      <c r="G23" s="146"/>
      <c r="H23" s="146"/>
    </row>
    <row r="24" spans="1:8" ht="12.75">
      <c r="A24" s="137"/>
      <c r="B24" s="146"/>
      <c r="C24" s="146"/>
      <c r="D24" s="146"/>
      <c r="E24" s="146"/>
      <c r="F24" s="146"/>
      <c r="G24" s="146"/>
      <c r="H24" s="146"/>
    </row>
    <row r="25" spans="2:8" ht="12.75">
      <c r="B25" s="150"/>
      <c r="C25" s="150"/>
      <c r="D25" s="150"/>
      <c r="E25" s="150"/>
      <c r="F25" s="150"/>
      <c r="G25" s="150"/>
      <c r="H25" s="150"/>
    </row>
    <row r="26" spans="2:8" ht="12.75">
      <c r="B26" s="150"/>
      <c r="C26" s="150"/>
      <c r="D26" s="150"/>
      <c r="E26" s="150"/>
      <c r="F26" s="150"/>
      <c r="G26" s="150"/>
      <c r="H26" s="150"/>
    </row>
    <row r="27" spans="2:8" ht="12.75">
      <c r="B27" s="150"/>
      <c r="C27" s="150"/>
      <c r="D27" s="150"/>
      <c r="E27" s="150"/>
      <c r="F27" s="150"/>
      <c r="G27" s="150"/>
      <c r="H27" s="150"/>
    </row>
    <row r="28" spans="2:8" ht="12.75">
      <c r="B28" s="150"/>
      <c r="C28" s="150"/>
      <c r="D28" s="150"/>
      <c r="E28" s="150"/>
      <c r="F28" s="150"/>
      <c r="G28" s="150"/>
      <c r="H28" s="150"/>
    </row>
    <row r="29" spans="2:8" ht="12.75">
      <c r="B29" s="150"/>
      <c r="C29" s="150"/>
      <c r="D29" s="150"/>
      <c r="E29" s="150"/>
      <c r="F29" s="150"/>
      <c r="G29" s="150"/>
      <c r="H29" s="150"/>
    </row>
  </sheetData>
  <sheetProtection/>
  <mergeCells count="1">
    <mergeCell ref="C21:C2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4"/>
  <sheetViews>
    <sheetView zoomScalePageLayoutView="0" workbookViewId="0" topLeftCell="A1">
      <selection activeCell="C7" sqref="C7"/>
    </sheetView>
  </sheetViews>
  <sheetFormatPr defaultColWidth="11.421875" defaultRowHeight="12.75"/>
  <cols>
    <col min="2" max="2" width="23.421875" style="0" customWidth="1"/>
    <col min="3" max="3" width="22.28125" style="0" customWidth="1"/>
    <col min="4" max="4" width="22.7109375" style="0" customWidth="1"/>
    <col min="5" max="5" width="15.7109375" style="0" customWidth="1"/>
    <col min="6" max="6" width="13.00390625" style="0" customWidth="1"/>
    <col min="8" max="8" width="6.8515625" style="0" customWidth="1"/>
    <col min="9" max="9" width="8.140625" style="0" customWidth="1"/>
    <col min="10" max="10" width="10.140625" style="0" customWidth="1"/>
  </cols>
  <sheetData>
    <row r="1" ht="12.75">
      <c r="B1" s="150"/>
    </row>
    <row r="2" spans="2:10" ht="12.75">
      <c r="B2" s="150"/>
      <c r="C2" s="150"/>
      <c r="D2" s="150"/>
      <c r="E2" s="150"/>
      <c r="F2" s="150"/>
      <c r="G2" s="150"/>
      <c r="H2" s="150"/>
      <c r="J2" s="70"/>
    </row>
    <row r="3" spans="2:9" ht="12.75">
      <c r="B3" t="s">
        <v>95</v>
      </c>
      <c r="C3">
        <v>4</v>
      </c>
      <c r="D3" s="150"/>
      <c r="E3" s="150"/>
      <c r="F3" s="150"/>
      <c r="G3" s="150"/>
      <c r="H3" s="150"/>
      <c r="I3" s="70"/>
    </row>
    <row r="4" spans="2:9" ht="12.75">
      <c r="B4" t="s">
        <v>96</v>
      </c>
      <c r="C4">
        <v>0</v>
      </c>
      <c r="D4" s="155"/>
      <c r="E4" s="155"/>
      <c r="F4" s="155"/>
      <c r="G4" s="150"/>
      <c r="H4" s="150"/>
      <c r="I4" s="70"/>
    </row>
    <row r="5" spans="2:9" ht="12.75" thickBot="1">
      <c r="B5" t="s">
        <v>98</v>
      </c>
      <c r="C5" s="154">
        <v>0.009114</v>
      </c>
      <c r="D5" s="155"/>
      <c r="E5" s="155"/>
      <c r="F5" s="155"/>
      <c r="G5" s="150"/>
      <c r="H5" s="150"/>
      <c r="I5" s="70"/>
    </row>
    <row r="6" spans="2:10" ht="12.75" thickBot="1">
      <c r="B6" t="s">
        <v>99</v>
      </c>
      <c r="C6">
        <v>49152</v>
      </c>
      <c r="D6" s="155"/>
      <c r="E6" s="162" t="s">
        <v>110</v>
      </c>
      <c r="F6" s="178">
        <f>ROUNDDOWN(E7,0)</f>
        <v>0</v>
      </c>
      <c r="G6" s="162" t="s">
        <v>111</v>
      </c>
      <c r="H6" s="179">
        <f>ROUNDDOWN(G7,0)</f>
        <v>13</v>
      </c>
      <c r="I6" s="163" t="s">
        <v>112</v>
      </c>
      <c r="J6" s="180">
        <f>(G7-H6)*60</f>
        <v>39.199999999999946</v>
      </c>
    </row>
    <row r="7" spans="2:10" ht="12.75" thickBot="1">
      <c r="B7" t="s">
        <v>100</v>
      </c>
      <c r="C7">
        <v>0.9394164886</v>
      </c>
      <c r="D7" s="155"/>
      <c r="E7" s="164">
        <f>(C6/(60*60*24))</f>
        <v>0.5688888888888889</v>
      </c>
      <c r="F7" s="147"/>
      <c r="G7" s="148">
        <f>(E7-F6)*24</f>
        <v>13.653333333333332</v>
      </c>
      <c r="H7" s="146"/>
      <c r="J7" s="137">
        <f>(G7-H6)*60</f>
        <v>39.199999999999946</v>
      </c>
    </row>
    <row r="8" spans="2:10" ht="12.75">
      <c r="B8" t="s">
        <v>101</v>
      </c>
      <c r="C8" s="154">
        <v>-8.0005892911E-09</v>
      </c>
      <c r="D8" s="155"/>
      <c r="E8" s="146"/>
      <c r="F8" s="147"/>
      <c r="G8" s="148">
        <f>F6*60*60*24+H6*60*60+J6*60</f>
        <v>49152</v>
      </c>
      <c r="H8" s="146"/>
      <c r="I8" s="146"/>
      <c r="J8" s="137"/>
    </row>
    <row r="9" spans="2:9" ht="12.75">
      <c r="B9" t="s">
        <v>102</v>
      </c>
      <c r="C9">
        <v>5153.6</v>
      </c>
      <c r="D9" s="155"/>
      <c r="E9" s="155"/>
      <c r="F9" s="155"/>
      <c r="G9" s="150"/>
      <c r="H9" s="150"/>
      <c r="I9" s="70"/>
    </row>
    <row r="10" spans="2:9" ht="12.75">
      <c r="B10" t="s">
        <v>103</v>
      </c>
      <c r="C10" s="154">
        <v>0.75194020164</v>
      </c>
      <c r="D10" s="155"/>
      <c r="E10" s="155"/>
      <c r="F10" s="155"/>
      <c r="G10" s="150"/>
      <c r="H10" s="150"/>
      <c r="I10" s="70"/>
    </row>
    <row r="11" spans="2:9" ht="12.75">
      <c r="B11" t="s">
        <v>104</v>
      </c>
      <c r="C11">
        <v>0.598455947</v>
      </c>
      <c r="D11" s="150"/>
      <c r="E11" s="150"/>
      <c r="F11" s="150"/>
      <c r="G11" s="150"/>
      <c r="H11" s="150"/>
      <c r="I11" s="70"/>
    </row>
    <row r="12" spans="2:9" ht="12.75">
      <c r="B12" t="s">
        <v>105</v>
      </c>
      <c r="C12" s="154">
        <v>1.4914012991</v>
      </c>
      <c r="D12" s="150"/>
      <c r="E12" s="150"/>
      <c r="F12" s="150"/>
      <c r="G12" s="150"/>
      <c r="H12" s="150"/>
      <c r="I12" s="70"/>
    </row>
    <row r="13" spans="2:8" ht="12.75">
      <c r="B13" t="s">
        <v>106</v>
      </c>
      <c r="C13" s="154">
        <v>3.05176E-05</v>
      </c>
      <c r="D13" s="150"/>
      <c r="E13" s="150"/>
      <c r="F13" s="150"/>
      <c r="G13" s="150"/>
      <c r="H13" s="150"/>
    </row>
    <row r="14" spans="2:8" ht="12.75">
      <c r="B14" t="s">
        <v>107</v>
      </c>
      <c r="C14" s="154">
        <v>0</v>
      </c>
      <c r="D14" s="150"/>
      <c r="E14" s="150"/>
      <c r="F14" s="150"/>
      <c r="G14" s="150"/>
      <c r="H14" s="150"/>
    </row>
    <row r="15" spans="2:8" ht="12.75">
      <c r="B15" t="s">
        <v>108</v>
      </c>
      <c r="C15">
        <v>550</v>
      </c>
      <c r="D15" s="150"/>
      <c r="E15" s="150"/>
      <c r="F15" s="150"/>
      <c r="G15" s="150"/>
      <c r="H15" s="150"/>
    </row>
    <row r="16" spans="3:8" ht="12.75">
      <c r="C16" s="150"/>
      <c r="D16" s="150"/>
      <c r="E16" s="150"/>
      <c r="F16" s="150"/>
      <c r="G16" s="150"/>
      <c r="H16" s="150"/>
    </row>
    <row r="17" spans="3:8" ht="12.75">
      <c r="C17" s="150"/>
      <c r="D17" s="150"/>
      <c r="E17" s="150"/>
      <c r="F17" s="150"/>
      <c r="G17" s="150"/>
      <c r="H17" s="150"/>
    </row>
    <row r="18" spans="3:8" ht="12.75">
      <c r="C18" s="150"/>
      <c r="D18" s="150"/>
      <c r="E18" s="150"/>
      <c r="F18" s="150"/>
      <c r="G18" s="150"/>
      <c r="H18" s="150"/>
    </row>
    <row r="19" spans="3:8" ht="12.75">
      <c r="C19" s="150"/>
      <c r="D19" s="150"/>
      <c r="E19" s="150"/>
      <c r="F19" s="150"/>
      <c r="G19" s="150"/>
      <c r="H19" s="150"/>
    </row>
    <row r="20" spans="3:8" ht="12.75">
      <c r="C20" s="150"/>
      <c r="D20" s="150"/>
      <c r="E20" s="150"/>
      <c r="F20" s="150"/>
      <c r="G20" s="150"/>
      <c r="H20" s="150"/>
    </row>
    <row r="21" spans="3:8" ht="12.75">
      <c r="C21" s="150"/>
      <c r="D21" s="150"/>
      <c r="E21" s="150"/>
      <c r="F21" s="150"/>
      <c r="G21" s="150"/>
      <c r="H21" s="150"/>
    </row>
    <row r="22" spans="3:8" ht="12.75">
      <c r="C22" s="150"/>
      <c r="D22" s="150"/>
      <c r="E22" s="150"/>
      <c r="F22" s="150"/>
      <c r="G22" s="150"/>
      <c r="H22" s="150"/>
    </row>
    <row r="23" spans="3:8" ht="12.75">
      <c r="C23" s="150"/>
      <c r="D23" s="150"/>
      <c r="E23" s="150"/>
      <c r="F23" s="150"/>
      <c r="G23" s="150"/>
      <c r="H23" s="150"/>
    </row>
    <row r="24" spans="3:8" ht="12.75">
      <c r="C24" s="150"/>
      <c r="D24" s="150"/>
      <c r="E24" s="150"/>
      <c r="F24" s="150"/>
      <c r="G24" s="150"/>
      <c r="H24" s="15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30"/>
  <sheetViews>
    <sheetView zoomScalePageLayoutView="0" workbookViewId="0" topLeftCell="A10">
      <selection activeCell="E34" sqref="E34"/>
    </sheetView>
  </sheetViews>
  <sheetFormatPr defaultColWidth="11.421875" defaultRowHeight="12.75"/>
  <cols>
    <col min="3" max="3" width="13.57421875" style="0" customWidth="1"/>
    <col min="8" max="8" width="16.421875" style="0" customWidth="1"/>
    <col min="10" max="10" width="19.140625" style="0" customWidth="1"/>
  </cols>
  <sheetData>
    <row r="2" spans="2:10" ht="12.75">
      <c r="B2" s="292" t="s">
        <v>119</v>
      </c>
      <c r="C2" s="292"/>
      <c r="D2" s="292"/>
      <c r="E2" s="292"/>
      <c r="F2" s="292"/>
      <c r="I2" s="161" t="s">
        <v>92</v>
      </c>
      <c r="J2" s="4">
        <f>'Sat-Sichtbarkeit'!D28</f>
        <v>-18171670.756423436</v>
      </c>
    </row>
    <row r="3" spans="2:10" ht="12.75">
      <c r="B3" s="183" t="s">
        <v>90</v>
      </c>
      <c r="C3" s="184">
        <f>$J$5/(SQRT(1-$J$6^2*SIN(0)^2))</f>
        <v>6378137</v>
      </c>
      <c r="D3" s="185"/>
      <c r="E3" s="184">
        <f>C3/1000</f>
        <v>6378.137</v>
      </c>
      <c r="F3" s="186" t="s">
        <v>114</v>
      </c>
      <c r="I3" s="161" t="s">
        <v>120</v>
      </c>
      <c r="J3" s="4">
        <f>'Sat-Sichtbarkeit'!D29</f>
        <v>8252598.32476199</v>
      </c>
    </row>
    <row r="4" spans="2:10" ht="12.75">
      <c r="B4" s="46" t="s">
        <v>82</v>
      </c>
      <c r="C4" s="58">
        <f>SQRT($J$2^2+$J$3^2)/COS(0)-C3</f>
        <v>13579693.47301783</v>
      </c>
      <c r="D4" s="5"/>
      <c r="E4" s="58">
        <f>C4/1000</f>
        <v>13579.693473017831</v>
      </c>
      <c r="F4" s="187" t="s">
        <v>114</v>
      </c>
      <c r="I4" s="161" t="s">
        <v>93</v>
      </c>
      <c r="J4" s="4">
        <f>'Sat-Sichtbarkeit'!D30</f>
        <v>17526479.62396879</v>
      </c>
    </row>
    <row r="5" spans="2:10" ht="12.75">
      <c r="B5" s="188" t="s">
        <v>91</v>
      </c>
      <c r="C5" s="42">
        <f>ATAN($J$4/SQRT($J$2^2+$J$3^2)/(1-$J$6^2*(C3/(C3+C4))))</f>
        <v>0.721687754419471</v>
      </c>
      <c r="D5" s="42"/>
      <c r="E5" s="189">
        <f>C5*rho</f>
        <v>41.34966245450951</v>
      </c>
      <c r="F5" s="52" t="s">
        <v>81</v>
      </c>
      <c r="I5" s="161" t="s">
        <v>94</v>
      </c>
      <c r="J5" s="4">
        <f>'Sat-Sichtbarkeit'!D42</f>
        <v>6378137</v>
      </c>
    </row>
    <row r="6" spans="9:10" ht="12.75">
      <c r="I6" s="161" t="s">
        <v>7</v>
      </c>
      <c r="J6">
        <f>'Sat-Sichtbarkeit'!D44</f>
        <v>0.08181919131086947</v>
      </c>
    </row>
    <row r="7" spans="2:6" ht="12.75">
      <c r="B7" s="183" t="s">
        <v>90</v>
      </c>
      <c r="C7" s="184">
        <f>$J$5/(SQRT(1-$J$6^2*SIN(C5)^2))</f>
        <v>6387475.421794772</v>
      </c>
      <c r="D7" s="185"/>
      <c r="E7" s="184">
        <f>C7/1000</f>
        <v>6387.475421794772</v>
      </c>
      <c r="F7" s="186" t="s">
        <v>114</v>
      </c>
    </row>
    <row r="8" spans="2:6" ht="12.75">
      <c r="B8" s="46" t="s">
        <v>82</v>
      </c>
      <c r="C8" s="58">
        <f>SQRT($J$2^2+$J$3^2)/COS(C5)-C7</f>
        <v>20198443.083982628</v>
      </c>
      <c r="D8" s="5"/>
      <c r="E8" s="5">
        <f>C8/1000</f>
        <v>20198.443083982627</v>
      </c>
      <c r="F8" s="187" t="s">
        <v>114</v>
      </c>
    </row>
    <row r="9" spans="2:6" ht="12.75">
      <c r="B9" s="188" t="s">
        <v>91</v>
      </c>
      <c r="C9" s="42">
        <f>ATAN($J$4/SQRT($J$2^2+$J$3^2)/(1-$J$6^2*(C7/(C7+C8))))</f>
        <v>0.7214239128059159</v>
      </c>
      <c r="D9" s="42"/>
      <c r="E9" s="189">
        <f>C9*rho</f>
        <v>41.33454544359289</v>
      </c>
      <c r="F9" s="52" t="s">
        <v>81</v>
      </c>
    </row>
    <row r="11" spans="2:6" ht="12.75">
      <c r="B11" s="183" t="s">
        <v>90</v>
      </c>
      <c r="C11" s="184">
        <f>$J$5/(SQRT(1-$J$6^2*SIN(C9)^2))</f>
        <v>6387469.81036888</v>
      </c>
      <c r="D11" s="185"/>
      <c r="E11" s="184">
        <f>C11/1000</f>
        <v>6387.46981036888</v>
      </c>
      <c r="F11" s="186" t="s">
        <v>114</v>
      </c>
    </row>
    <row r="12" spans="2:6" ht="12.75">
      <c r="B12" s="46" t="s">
        <v>82</v>
      </c>
      <c r="C12" s="58">
        <f>SQRT($J$2^2+$J$3^2)/COS(C9)-C11</f>
        <v>20192277.908866912</v>
      </c>
      <c r="D12" s="5"/>
      <c r="E12" s="58">
        <f>C12/1000</f>
        <v>20192.277908866912</v>
      </c>
      <c r="F12" s="187" t="s">
        <v>114</v>
      </c>
    </row>
    <row r="13" spans="2:6" ht="12.75">
      <c r="B13" s="188" t="s">
        <v>91</v>
      </c>
      <c r="C13" s="42">
        <f>ATAN($J$4/SQRT($J$2^2+$J$3^2)/(1-$J$6^2*(C11/(C11+C12))))</f>
        <v>0.7214240975775382</v>
      </c>
      <c r="D13" s="42"/>
      <c r="E13" s="189">
        <f>C13*rho</f>
        <v>41.33455603022702</v>
      </c>
      <c r="F13" s="52" t="s">
        <v>81</v>
      </c>
    </row>
    <row r="15" spans="2:6" ht="12.75">
      <c r="B15" s="183" t="s">
        <v>90</v>
      </c>
      <c r="C15" s="184">
        <f>$J$5/(SQRT(1-$J$6^2*SIN(C13)^2))</f>
        <v>6387469.814298493</v>
      </c>
      <c r="D15" s="185"/>
      <c r="E15" s="184">
        <f>C15/1000</f>
        <v>6387.469814298493</v>
      </c>
      <c r="F15" s="186" t="s">
        <v>114</v>
      </c>
    </row>
    <row r="16" spans="2:6" ht="12.75">
      <c r="B16" s="46" t="s">
        <v>82</v>
      </c>
      <c r="C16" s="58">
        <f>SQRT($J$2^2+$J$3^2)/COS(C13)-C15</f>
        <v>20192282.224767514</v>
      </c>
      <c r="D16" s="5"/>
      <c r="E16" s="58">
        <f>C16/1000</f>
        <v>20192.282224767514</v>
      </c>
      <c r="F16" s="187" t="s">
        <v>114</v>
      </c>
    </row>
    <row r="17" spans="2:6" ht="12.75">
      <c r="B17" s="188" t="s">
        <v>91</v>
      </c>
      <c r="C17" s="42">
        <f>ATAN($J$4/SQRT($J$2^2+$J$3^2)/(1-$J$6^2*(C15/(C15+C16))))</f>
        <v>0.7214240974481598</v>
      </c>
      <c r="D17" s="42"/>
      <c r="E17" s="189">
        <f>C17*rho</f>
        <v>41.33455602281418</v>
      </c>
      <c r="F17" s="52" t="s">
        <v>81</v>
      </c>
    </row>
    <row r="19" spans="2:6" ht="12.75">
      <c r="B19" s="183" t="s">
        <v>90</v>
      </c>
      <c r="C19" s="184">
        <f>$J$5/(SQRT(1-$J$6^2*SIN(C17)^2))</f>
        <v>6387469.814295742</v>
      </c>
      <c r="D19" s="185"/>
      <c r="E19" s="184">
        <f>C19/1000</f>
        <v>6387.469814295741</v>
      </c>
      <c r="F19" s="186" t="s">
        <v>114</v>
      </c>
    </row>
    <row r="20" spans="2:6" ht="12.75">
      <c r="B20" s="46" t="s">
        <v>82</v>
      </c>
      <c r="C20" s="58">
        <f>SQRT($J$2^2+$J$3^2)/COS(C17)-C19</f>
        <v>20192282.221745487</v>
      </c>
      <c r="D20" s="5"/>
      <c r="E20" s="58">
        <f>C20/1000</f>
        <v>20192.28222174549</v>
      </c>
      <c r="F20" s="187" t="s">
        <v>114</v>
      </c>
    </row>
    <row r="21" spans="2:6" ht="12.75">
      <c r="B21" s="188" t="s">
        <v>91</v>
      </c>
      <c r="C21" s="42">
        <f>ATAN($J$4/SQRT($J$2^2+$J$3^2)/(1-$J$6^2*(C19/(C19+C20))))</f>
        <v>0.7214240974482504</v>
      </c>
      <c r="D21" s="42"/>
      <c r="E21" s="189">
        <f>C21*rho</f>
        <v>41.33455602281937</v>
      </c>
      <c r="F21" s="52" t="s">
        <v>81</v>
      </c>
    </row>
    <row r="24" spans="2:4" ht="12.75">
      <c r="B24" t="s">
        <v>116</v>
      </c>
      <c r="C24">
        <f>ROUNDDOWN(E21,0)</f>
        <v>41</v>
      </c>
      <c r="D24" t="s">
        <v>81</v>
      </c>
    </row>
    <row r="25" spans="3:4" ht="12.75">
      <c r="C25" s="67">
        <f>E21*60-C24*60</f>
        <v>20.073361369162285</v>
      </c>
      <c r="D25" t="s">
        <v>17</v>
      </c>
    </row>
    <row r="27" spans="2:5" ht="12.75">
      <c r="B27" t="s">
        <v>117</v>
      </c>
      <c r="C27">
        <f>ATAN2($J$2,$J$3)</f>
        <v>2.715295957699706</v>
      </c>
      <c r="E27">
        <f>C27*rho</f>
        <v>155.57499850512605</v>
      </c>
    </row>
    <row r="29" spans="2:4" ht="12.75">
      <c r="B29" t="s">
        <v>117</v>
      </c>
      <c r="C29">
        <f>ROUNDDOWN(E27,0)</f>
        <v>155</v>
      </c>
      <c r="D29" t="s">
        <v>81</v>
      </c>
    </row>
    <row r="30" spans="3:4" ht="12.75">
      <c r="C30" s="67">
        <f>E27*60-C29*60</f>
        <v>34.49991030756246</v>
      </c>
      <c r="D30" t="s">
        <v>17</v>
      </c>
    </row>
  </sheetData>
  <sheetProtection/>
  <mergeCells count="1">
    <mergeCell ref="B2:F2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85"/>
  <sheetViews>
    <sheetView zoomScalePageLayoutView="0" workbookViewId="0" topLeftCell="A1">
      <selection activeCell="J16" sqref="J16"/>
    </sheetView>
  </sheetViews>
  <sheetFormatPr defaultColWidth="11.421875" defaultRowHeight="12.75"/>
  <cols>
    <col min="2" max="2" width="25.140625" style="0" customWidth="1"/>
    <col min="3" max="3" width="14.140625" style="0" customWidth="1"/>
    <col min="4" max="4" width="16.57421875" style="0" customWidth="1"/>
    <col min="5" max="5" width="16.8515625" style="0" customWidth="1"/>
    <col min="6" max="6" width="16.140625" style="0" customWidth="1"/>
    <col min="7" max="7" width="14.140625" style="0" customWidth="1"/>
    <col min="8" max="8" width="16.8515625" style="0" customWidth="1"/>
  </cols>
  <sheetData>
    <row r="3" spans="2:8" ht="12.75">
      <c r="B3" t="s">
        <v>95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</row>
    <row r="4" spans="2:8" ht="12.75">
      <c r="B4" t="s">
        <v>96</v>
      </c>
      <c r="C4" t="s">
        <v>97</v>
      </c>
      <c r="D4">
        <v>0</v>
      </c>
      <c r="E4">
        <v>0</v>
      </c>
      <c r="F4">
        <v>0</v>
      </c>
      <c r="G4">
        <v>0</v>
      </c>
      <c r="H4">
        <v>0</v>
      </c>
    </row>
    <row r="5" spans="2:8" ht="12.75">
      <c r="B5" t="s">
        <v>98</v>
      </c>
      <c r="C5" s="154">
        <v>0.004383</v>
      </c>
      <c r="D5" s="154">
        <v>0.009403</v>
      </c>
      <c r="E5" s="154">
        <v>0.012877</v>
      </c>
      <c r="F5" s="154">
        <v>0.009114</v>
      </c>
      <c r="G5" s="154">
        <v>0.00191</v>
      </c>
      <c r="H5" s="154">
        <v>0.006068</v>
      </c>
    </row>
    <row r="6" spans="2:8" ht="12.75">
      <c r="B6" t="s">
        <v>99</v>
      </c>
      <c r="C6">
        <v>49152</v>
      </c>
      <c r="D6">
        <v>49152</v>
      </c>
      <c r="E6">
        <v>49152</v>
      </c>
      <c r="F6">
        <v>49152</v>
      </c>
      <c r="G6">
        <v>49152</v>
      </c>
      <c r="H6">
        <v>49152</v>
      </c>
    </row>
    <row r="7" spans="2:8" ht="12.75">
      <c r="B7" t="s">
        <v>100</v>
      </c>
      <c r="C7">
        <v>0.9635753361</v>
      </c>
      <c r="D7">
        <v>0.9402839172</v>
      </c>
      <c r="E7">
        <v>0.9272881956</v>
      </c>
      <c r="F7">
        <v>0.9394164886</v>
      </c>
      <c r="G7">
        <v>0.9590043188</v>
      </c>
      <c r="H7">
        <v>0.9346814103</v>
      </c>
    </row>
    <row r="8" spans="2:8" ht="12.75">
      <c r="B8" t="s">
        <v>101</v>
      </c>
      <c r="C8" s="154">
        <v>-7.8068577442E-09</v>
      </c>
      <c r="D8" s="154">
        <v>-7.9883719864E-09</v>
      </c>
      <c r="E8" s="154">
        <v>-8.1716315578E-09</v>
      </c>
      <c r="F8" s="154">
        <v>-8.0005892911E-09</v>
      </c>
      <c r="G8" s="154">
        <v>-7.8627082802E-09</v>
      </c>
      <c r="H8" s="154">
        <v>-8.0808744367E-09</v>
      </c>
    </row>
    <row r="9" spans="2:8" ht="12.75">
      <c r="B9" t="s">
        <v>102</v>
      </c>
      <c r="C9">
        <v>5154.7</v>
      </c>
      <c r="D9">
        <v>5153.7</v>
      </c>
      <c r="E9">
        <v>5153.6</v>
      </c>
      <c r="F9">
        <v>5153.6</v>
      </c>
      <c r="G9">
        <v>5153.6</v>
      </c>
      <c r="H9">
        <v>5153.6</v>
      </c>
    </row>
    <row r="10" spans="2:8" ht="12.75">
      <c r="B10" t="s">
        <v>103</v>
      </c>
      <c r="C10" s="154">
        <v>-1.3502390692</v>
      </c>
      <c r="D10" s="154">
        <v>0.73396331034</v>
      </c>
      <c r="E10" s="154">
        <v>-0.4169591583</v>
      </c>
      <c r="F10" s="154">
        <v>0.75194020164</v>
      </c>
      <c r="G10" s="154">
        <v>1.7934654328</v>
      </c>
      <c r="H10" s="154">
        <v>-0.34702381517</v>
      </c>
    </row>
    <row r="11" spans="2:8" ht="12.75">
      <c r="B11" t="s">
        <v>104</v>
      </c>
      <c r="C11">
        <v>0.874357595</v>
      </c>
      <c r="D11">
        <v>2.982278999</v>
      </c>
      <c r="E11">
        <v>0.983178874</v>
      </c>
      <c r="F11">
        <v>0.598455947</v>
      </c>
      <c r="G11">
        <v>0.345365752</v>
      </c>
      <c r="H11">
        <v>-1.130990809</v>
      </c>
    </row>
    <row r="12" spans="2:8" ht="12.75">
      <c r="B12" t="s">
        <v>105</v>
      </c>
      <c r="C12" s="154">
        <v>0.88961177303</v>
      </c>
      <c r="D12" s="154">
        <v>-1.5254177662</v>
      </c>
      <c r="E12" s="154">
        <v>-1.6567014326</v>
      </c>
      <c r="F12" s="154">
        <v>1.4914012991</v>
      </c>
      <c r="G12" s="154">
        <v>-0.060248765779</v>
      </c>
      <c r="H12" s="154">
        <v>0.59885737294</v>
      </c>
    </row>
    <row r="13" spans="2:8" ht="12.75">
      <c r="B13" t="s">
        <v>106</v>
      </c>
      <c r="C13" s="154">
        <v>-9.53674E-05</v>
      </c>
      <c r="D13" s="154">
        <v>0.0002336502</v>
      </c>
      <c r="E13" s="154">
        <v>0.0005245209</v>
      </c>
      <c r="F13" s="154">
        <v>3.05176E-05</v>
      </c>
      <c r="G13" s="154">
        <v>-3.8147E-06</v>
      </c>
      <c r="H13" s="154">
        <v>0.0006923676</v>
      </c>
    </row>
    <row r="14" spans="2:8" ht="12.75">
      <c r="B14" t="s">
        <v>107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</row>
    <row r="15" spans="2:8" ht="12.75">
      <c r="B15" t="s">
        <v>108</v>
      </c>
      <c r="C15">
        <v>550</v>
      </c>
      <c r="D15">
        <v>550</v>
      </c>
      <c r="E15">
        <v>550</v>
      </c>
      <c r="F15">
        <v>550</v>
      </c>
      <c r="G15">
        <v>550</v>
      </c>
      <c r="H15">
        <v>550</v>
      </c>
    </row>
    <row r="17" spans="2:8" ht="12.75">
      <c r="B17" t="s">
        <v>95</v>
      </c>
      <c r="C17">
        <v>7</v>
      </c>
      <c r="D17">
        <v>8</v>
      </c>
      <c r="E17">
        <v>9</v>
      </c>
      <c r="F17">
        <v>10</v>
      </c>
      <c r="G17">
        <v>11</v>
      </c>
      <c r="H17">
        <v>12</v>
      </c>
    </row>
    <row r="18" spans="2:8" ht="12.75">
      <c r="B18" t="s">
        <v>96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2:8" ht="12.75">
      <c r="B19" t="s">
        <v>98</v>
      </c>
      <c r="C19" s="154">
        <v>0.00327</v>
      </c>
      <c r="D19" s="154">
        <v>0.010955</v>
      </c>
      <c r="E19" s="154">
        <v>0.020733</v>
      </c>
      <c r="F19" s="154">
        <v>0.009169</v>
      </c>
      <c r="G19" s="154">
        <v>0.010517</v>
      </c>
      <c r="H19" s="154">
        <v>0.003471</v>
      </c>
    </row>
    <row r="20" spans="2:8" ht="12.75">
      <c r="B20" t="s">
        <v>99</v>
      </c>
      <c r="C20">
        <v>49152</v>
      </c>
      <c r="D20">
        <v>49152</v>
      </c>
      <c r="E20">
        <v>49152</v>
      </c>
      <c r="F20">
        <v>49152</v>
      </c>
      <c r="G20">
        <v>49152</v>
      </c>
      <c r="H20">
        <v>49152</v>
      </c>
    </row>
    <row r="21" spans="2:8" ht="12.75">
      <c r="B21" t="s">
        <v>100</v>
      </c>
      <c r="C21">
        <v>0.9708027445</v>
      </c>
      <c r="D21">
        <v>0.992099252</v>
      </c>
      <c r="E21">
        <v>0.9796236385</v>
      </c>
      <c r="F21">
        <v>0.954049329</v>
      </c>
      <c r="G21">
        <v>0.8888595361</v>
      </c>
      <c r="H21">
        <v>0.9696578085</v>
      </c>
    </row>
    <row r="22" spans="2:8" ht="12.75">
      <c r="B22" t="s">
        <v>101</v>
      </c>
      <c r="C22" s="154">
        <v>-7.8976148653E-09</v>
      </c>
      <c r="D22" s="154">
        <v>-7.6794487088E-09</v>
      </c>
      <c r="E22" s="154">
        <v>-7.7946404394E-09</v>
      </c>
      <c r="F22" s="154">
        <v>-7.9203041456E-09</v>
      </c>
      <c r="G22" s="154">
        <v>-8.5032441157E-09</v>
      </c>
      <c r="H22" s="154">
        <v>-7.7597338544E-09</v>
      </c>
    </row>
    <row r="23" spans="2:8" ht="12.75">
      <c r="B23" t="s">
        <v>102</v>
      </c>
      <c r="C23">
        <v>5153.7</v>
      </c>
      <c r="D23">
        <v>5153.7</v>
      </c>
      <c r="E23">
        <v>5153.6</v>
      </c>
      <c r="F23">
        <v>5153.4</v>
      </c>
      <c r="G23">
        <v>5153.7</v>
      </c>
      <c r="H23">
        <v>5153.7</v>
      </c>
    </row>
    <row r="24" spans="2:8" ht="12.75">
      <c r="B24" t="s">
        <v>103</v>
      </c>
      <c r="C24" s="154">
        <v>-2.3900887843</v>
      </c>
      <c r="D24" s="154">
        <v>-2.3238709924</v>
      </c>
      <c r="E24" s="154">
        <v>-2.4220632162</v>
      </c>
      <c r="F24" s="154">
        <v>1.8196977314</v>
      </c>
      <c r="G24" s="154">
        <v>0.51949725186</v>
      </c>
      <c r="H24" s="154">
        <v>-1.3363113418</v>
      </c>
    </row>
    <row r="25" spans="2:8" ht="12.75">
      <c r="B25" t="s">
        <v>104</v>
      </c>
      <c r="C25">
        <v>3.065827911</v>
      </c>
      <c r="D25">
        <v>3.091047918</v>
      </c>
      <c r="E25">
        <v>1.532468896</v>
      </c>
      <c r="F25">
        <v>0.656907024</v>
      </c>
      <c r="G25">
        <v>0.795433807</v>
      </c>
      <c r="H25">
        <v>-0.534978322</v>
      </c>
    </row>
    <row r="26" spans="2:8" ht="12.75">
      <c r="B26" t="s">
        <v>105</v>
      </c>
      <c r="C26" s="154">
        <v>3.0956032278</v>
      </c>
      <c r="D26" s="154">
        <v>2.4892758457</v>
      </c>
      <c r="E26" s="154">
        <v>2.3688481273</v>
      </c>
      <c r="F26" s="154">
        <v>-0.045518186892</v>
      </c>
      <c r="G26" s="154">
        <v>3.0020710332</v>
      </c>
      <c r="H26" s="154">
        <v>-3.1029336107</v>
      </c>
    </row>
    <row r="27" spans="2:8" ht="12.75">
      <c r="B27" t="s">
        <v>106</v>
      </c>
      <c r="C27" s="154">
        <v>1.9073E-06</v>
      </c>
      <c r="D27" s="154">
        <v>3.8147E-06</v>
      </c>
      <c r="E27" s="154">
        <v>0.0001096725</v>
      </c>
      <c r="F27" s="154">
        <v>-3.71933E-05</v>
      </c>
      <c r="G27" s="154">
        <v>-4.86374E-05</v>
      </c>
      <c r="H27" s="154">
        <v>-0.0001411438</v>
      </c>
    </row>
    <row r="28" spans="2:8" ht="12.75">
      <c r="B28" t="s">
        <v>107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</row>
    <row r="29" spans="2:8" ht="12.75">
      <c r="B29" t="s">
        <v>108</v>
      </c>
      <c r="C29">
        <v>550</v>
      </c>
      <c r="D29">
        <v>550</v>
      </c>
      <c r="E29">
        <v>550</v>
      </c>
      <c r="F29">
        <v>550</v>
      </c>
      <c r="G29">
        <v>550</v>
      </c>
      <c r="H29">
        <v>550</v>
      </c>
    </row>
    <row r="31" spans="2:8" ht="12.75">
      <c r="B31" t="s">
        <v>95</v>
      </c>
      <c r="C31">
        <v>13</v>
      </c>
      <c r="D31">
        <v>14</v>
      </c>
      <c r="E31">
        <v>15</v>
      </c>
      <c r="F31">
        <v>16</v>
      </c>
      <c r="G31">
        <v>17</v>
      </c>
      <c r="H31">
        <v>18</v>
      </c>
    </row>
    <row r="32" spans="2:8" ht="12.75">
      <c r="B32" t="s">
        <v>96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2:8" ht="12.75">
      <c r="B33" t="s">
        <v>98</v>
      </c>
      <c r="C33">
        <v>0.004234</v>
      </c>
      <c r="D33">
        <v>0.004948</v>
      </c>
      <c r="E33">
        <v>0.002433</v>
      </c>
      <c r="F33">
        <v>0.005744</v>
      </c>
      <c r="G33">
        <v>0.005235</v>
      </c>
      <c r="H33">
        <v>0.011006</v>
      </c>
    </row>
    <row r="34" spans="2:8" ht="12.75">
      <c r="B34" t="s">
        <v>99</v>
      </c>
      <c r="C34">
        <v>49152</v>
      </c>
      <c r="D34">
        <v>49152</v>
      </c>
      <c r="E34">
        <v>49152</v>
      </c>
      <c r="F34">
        <v>49152</v>
      </c>
      <c r="G34">
        <v>49152</v>
      </c>
      <c r="H34">
        <v>49152</v>
      </c>
    </row>
    <row r="35" spans="2:8" ht="12.75">
      <c r="B35" t="s">
        <v>100</v>
      </c>
      <c r="C35">
        <v>0.993656086</v>
      </c>
      <c r="D35">
        <v>0.986957512</v>
      </c>
      <c r="E35">
        <v>0.954611325</v>
      </c>
      <c r="F35">
        <v>0.970933644</v>
      </c>
      <c r="G35">
        <v>0.960454687</v>
      </c>
      <c r="H35">
        <v>0.938055132</v>
      </c>
    </row>
    <row r="36" spans="2:8" ht="12.75">
      <c r="B36" t="s">
        <v>101</v>
      </c>
      <c r="C36" s="154">
        <v>-7.70388E-09</v>
      </c>
      <c r="D36" s="154">
        <v>-7.75973E-09</v>
      </c>
      <c r="E36" s="154">
        <v>-8.09135E-09</v>
      </c>
      <c r="F36" s="154">
        <v>-7.71436E-09</v>
      </c>
      <c r="G36" s="154">
        <v>-7.78242E-09</v>
      </c>
      <c r="H36" s="154">
        <v>-8.08087E-09</v>
      </c>
    </row>
    <row r="37" spans="2:8" ht="12.75">
      <c r="B37" t="s">
        <v>102</v>
      </c>
      <c r="C37">
        <v>5153.5</v>
      </c>
      <c r="D37">
        <v>5153.7</v>
      </c>
      <c r="E37">
        <v>5153.7</v>
      </c>
      <c r="F37">
        <v>5153.7</v>
      </c>
      <c r="G37">
        <v>5153.5</v>
      </c>
      <c r="H37">
        <v>5153.6</v>
      </c>
    </row>
    <row r="38" spans="2:8" ht="12.75">
      <c r="B38" t="s">
        <v>103</v>
      </c>
      <c r="C38">
        <v>2.910476154</v>
      </c>
      <c r="D38">
        <v>2.88920059</v>
      </c>
      <c r="E38">
        <v>2.827782454</v>
      </c>
      <c r="F38">
        <v>-1.318980222</v>
      </c>
      <c r="G38">
        <v>-0.275901648</v>
      </c>
      <c r="H38">
        <v>1.820849649</v>
      </c>
    </row>
    <row r="39" spans="2:8" ht="12.75">
      <c r="B39" t="s">
        <v>104</v>
      </c>
      <c r="C39">
        <v>1.640749123</v>
      </c>
      <c r="D39">
        <v>-2.102475977</v>
      </c>
      <c r="E39">
        <v>-0.244171562</v>
      </c>
      <c r="F39">
        <v>-0.270316595</v>
      </c>
      <c r="G39">
        <v>-2.559472988</v>
      </c>
      <c r="H39">
        <v>-2.350260371</v>
      </c>
    </row>
    <row r="40" spans="2:8" ht="12.75">
      <c r="B40" t="s">
        <v>105</v>
      </c>
      <c r="C40">
        <v>-0.675006088</v>
      </c>
      <c r="D40">
        <v>-0.859051058</v>
      </c>
      <c r="E40">
        <v>-0.867463545</v>
      </c>
      <c r="F40">
        <v>0.842487883</v>
      </c>
      <c r="G40">
        <v>-0.422858371</v>
      </c>
      <c r="H40">
        <v>1.057512447</v>
      </c>
    </row>
    <row r="41" spans="2:8" ht="12.75">
      <c r="B41" t="s">
        <v>106</v>
      </c>
      <c r="C41">
        <v>0.00030613</v>
      </c>
      <c r="D41" s="154">
        <v>1.90735E-05</v>
      </c>
      <c r="E41">
        <v>-0.000300407</v>
      </c>
      <c r="F41" s="154">
        <v>-4.76837E-05</v>
      </c>
      <c r="G41">
        <v>0.000134468</v>
      </c>
      <c r="H41" s="154">
        <v>5.34058E-05</v>
      </c>
    </row>
    <row r="42" spans="2:8" ht="12.75">
      <c r="B42" t="s">
        <v>107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2:8" ht="12.75">
      <c r="B43" t="s">
        <v>108</v>
      </c>
      <c r="C43">
        <v>550</v>
      </c>
      <c r="D43">
        <v>550</v>
      </c>
      <c r="E43">
        <v>550</v>
      </c>
      <c r="F43">
        <v>550</v>
      </c>
      <c r="G43">
        <v>550</v>
      </c>
      <c r="H43">
        <v>550</v>
      </c>
    </row>
    <row r="45" spans="2:8" ht="12.75">
      <c r="B45" t="s">
        <v>95</v>
      </c>
      <c r="C45">
        <v>19</v>
      </c>
      <c r="D45">
        <v>20</v>
      </c>
      <c r="E45">
        <v>21</v>
      </c>
      <c r="F45">
        <v>22</v>
      </c>
      <c r="G45">
        <v>23</v>
      </c>
      <c r="H45">
        <v>24</v>
      </c>
    </row>
    <row r="46" spans="2:8" ht="12.75">
      <c r="B46" t="s">
        <v>96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</row>
    <row r="47" spans="2:8" ht="12.75">
      <c r="B47" t="s">
        <v>98</v>
      </c>
      <c r="C47">
        <v>0.00622</v>
      </c>
      <c r="D47">
        <v>0.004347</v>
      </c>
      <c r="E47">
        <v>0.016075</v>
      </c>
      <c r="F47">
        <v>0.005089</v>
      </c>
      <c r="G47">
        <v>0.006394</v>
      </c>
      <c r="H47">
        <v>0.005813</v>
      </c>
    </row>
    <row r="48" spans="2:8" ht="12.75">
      <c r="B48" t="s">
        <v>99</v>
      </c>
      <c r="C48">
        <v>49152</v>
      </c>
      <c r="D48">
        <v>49152</v>
      </c>
      <c r="E48">
        <v>49152</v>
      </c>
      <c r="F48">
        <v>49152</v>
      </c>
      <c r="G48">
        <v>49152</v>
      </c>
      <c r="H48">
        <v>49152</v>
      </c>
    </row>
    <row r="49" spans="2:8" ht="12.75">
      <c r="B49" t="s">
        <v>100</v>
      </c>
      <c r="C49">
        <v>0.958117692</v>
      </c>
      <c r="D49">
        <v>0.937863146</v>
      </c>
      <c r="E49">
        <v>0.932967497</v>
      </c>
      <c r="F49">
        <v>0.935737335</v>
      </c>
      <c r="G49">
        <v>0.968783399</v>
      </c>
      <c r="H49">
        <v>0.949542889</v>
      </c>
    </row>
    <row r="50" spans="2:8" ht="12.75">
      <c r="B50" t="s">
        <v>101</v>
      </c>
      <c r="C50" s="154">
        <v>-7.84002E-09</v>
      </c>
      <c r="D50" s="154">
        <v>-8.06866E-09</v>
      </c>
      <c r="E50" s="154">
        <v>-8.03375E-09</v>
      </c>
      <c r="F50" s="154">
        <v>-8.11404E-09</v>
      </c>
      <c r="G50" s="154">
        <v>-7.95521E-09</v>
      </c>
      <c r="H50" s="154">
        <v>-7.87493E-09</v>
      </c>
    </row>
    <row r="51" spans="2:8" ht="12.75">
      <c r="B51" t="s">
        <v>102</v>
      </c>
      <c r="C51">
        <v>5153.7</v>
      </c>
      <c r="D51">
        <v>5153.6</v>
      </c>
      <c r="E51">
        <v>5153.6</v>
      </c>
      <c r="F51">
        <v>5153.6</v>
      </c>
      <c r="G51">
        <v>5153.7</v>
      </c>
      <c r="H51">
        <v>5154.8</v>
      </c>
    </row>
    <row r="52" spans="2:8" ht="12.75">
      <c r="B52" t="s">
        <v>103</v>
      </c>
      <c r="C52">
        <v>-0.220679431</v>
      </c>
      <c r="D52">
        <v>1.766918975</v>
      </c>
      <c r="E52">
        <v>0.763232482</v>
      </c>
      <c r="F52">
        <v>1.82594601</v>
      </c>
      <c r="G52">
        <v>2.851728371</v>
      </c>
      <c r="H52">
        <v>0.800250915</v>
      </c>
    </row>
    <row r="53" spans="2:8" ht="12.75">
      <c r="B53" t="s">
        <v>104</v>
      </c>
      <c r="C53">
        <v>-0.177395265</v>
      </c>
      <c r="D53">
        <v>1.295051758</v>
      </c>
      <c r="E53">
        <v>-2.516834595</v>
      </c>
      <c r="F53">
        <v>-1.904799986</v>
      </c>
      <c r="G53">
        <v>3.003851269</v>
      </c>
      <c r="H53">
        <v>-0.474869183</v>
      </c>
    </row>
    <row r="54" spans="2:8" ht="12.75">
      <c r="B54" t="s">
        <v>105</v>
      </c>
      <c r="C54">
        <v>-1.016968449</v>
      </c>
      <c r="D54">
        <v>1.207593309</v>
      </c>
      <c r="E54">
        <v>2.186199421</v>
      </c>
      <c r="F54">
        <v>0.065903633</v>
      </c>
      <c r="G54">
        <v>-1.560237085</v>
      </c>
      <c r="H54">
        <v>0.333235714</v>
      </c>
    </row>
    <row r="55" spans="2:8" ht="12.75">
      <c r="B55" t="s">
        <v>106</v>
      </c>
      <c r="C55" s="154">
        <v>-1.90735E-05</v>
      </c>
      <c r="D55" s="154">
        <v>5.91278E-05</v>
      </c>
      <c r="E55" s="154">
        <v>-4.48227E-05</v>
      </c>
      <c r="F55">
        <v>0.000177383</v>
      </c>
      <c r="G55">
        <v>0.000377655</v>
      </c>
      <c r="H55">
        <v>0.000267983</v>
      </c>
    </row>
    <row r="56" spans="2:8" ht="12.75">
      <c r="B56" t="s">
        <v>107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2:8" ht="12.75">
      <c r="B57" t="s">
        <v>108</v>
      </c>
      <c r="C57">
        <v>550</v>
      </c>
      <c r="D57">
        <v>550</v>
      </c>
      <c r="E57">
        <v>550</v>
      </c>
      <c r="F57">
        <v>550</v>
      </c>
      <c r="G57">
        <v>550</v>
      </c>
      <c r="H57">
        <v>550</v>
      </c>
    </row>
    <row r="59" spans="2:8" ht="12.75">
      <c r="B59" t="s">
        <v>95</v>
      </c>
      <c r="C59">
        <v>25</v>
      </c>
      <c r="D59">
        <v>26</v>
      </c>
      <c r="E59">
        <v>27</v>
      </c>
      <c r="F59">
        <v>28</v>
      </c>
      <c r="G59">
        <v>29</v>
      </c>
      <c r="H59">
        <v>30</v>
      </c>
    </row>
    <row r="60" spans="2:8" ht="12.75">
      <c r="B60" t="s">
        <v>96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</row>
    <row r="61" spans="2:8" ht="12.75">
      <c r="B61" t="s">
        <v>98</v>
      </c>
      <c r="C61">
        <v>0.011473</v>
      </c>
      <c r="D61">
        <v>0.019333</v>
      </c>
      <c r="E61">
        <v>0.021683</v>
      </c>
      <c r="F61">
        <v>0.015896</v>
      </c>
      <c r="G61">
        <v>0.002964</v>
      </c>
      <c r="H61">
        <v>0.011982</v>
      </c>
    </row>
    <row r="62" spans="2:8" ht="12.75">
      <c r="B62" t="s">
        <v>99</v>
      </c>
      <c r="C62">
        <v>61440</v>
      </c>
      <c r="D62">
        <v>49152</v>
      </c>
      <c r="E62">
        <v>49152</v>
      </c>
      <c r="F62">
        <v>49152</v>
      </c>
      <c r="G62">
        <v>49152</v>
      </c>
      <c r="H62">
        <v>49152</v>
      </c>
    </row>
    <row r="63" spans="2:8" ht="12.75">
      <c r="B63" t="s">
        <v>100</v>
      </c>
      <c r="C63">
        <v>0.97176093</v>
      </c>
      <c r="D63">
        <v>0.991415083</v>
      </c>
      <c r="E63">
        <v>0.977656652</v>
      </c>
      <c r="F63">
        <v>0.969172607</v>
      </c>
      <c r="G63">
        <v>0.960765356</v>
      </c>
      <c r="H63">
        <v>0.954894068</v>
      </c>
    </row>
    <row r="64" spans="2:8" ht="12.75">
      <c r="B64" t="s">
        <v>101</v>
      </c>
      <c r="C64" s="154">
        <v>-8.06866E-09</v>
      </c>
      <c r="D64" s="154">
        <v>-7.71436E-09</v>
      </c>
      <c r="E64" s="154">
        <v>-7.78242E-09</v>
      </c>
      <c r="F64" s="154">
        <v>-7.72657E-09</v>
      </c>
      <c r="G64" s="154">
        <v>-7.79464E-09</v>
      </c>
      <c r="H64" s="154">
        <v>-7.9203E-09</v>
      </c>
    </row>
    <row r="65" spans="2:8" ht="12.75">
      <c r="B65" t="s">
        <v>102</v>
      </c>
      <c r="C65">
        <v>5153.6</v>
      </c>
      <c r="D65">
        <v>5152.3</v>
      </c>
      <c r="E65">
        <v>5153.6</v>
      </c>
      <c r="F65">
        <v>5153.6</v>
      </c>
      <c r="G65">
        <v>5153.7</v>
      </c>
      <c r="H65">
        <v>5153.7</v>
      </c>
    </row>
    <row r="66" spans="2:8" ht="12.75">
      <c r="B66" t="s">
        <v>103</v>
      </c>
      <c r="C66">
        <v>-1.105509002</v>
      </c>
      <c r="D66">
        <v>2.907404375</v>
      </c>
      <c r="E66">
        <v>-2.446689812</v>
      </c>
      <c r="F66">
        <v>-1.311161147</v>
      </c>
      <c r="G66">
        <v>-0.267681147</v>
      </c>
      <c r="H66">
        <v>-1.388636313</v>
      </c>
    </row>
    <row r="67" spans="2:8" ht="12.75">
      <c r="B67" t="s">
        <v>104</v>
      </c>
      <c r="C67">
        <v>-1.217820939</v>
      </c>
      <c r="D67">
        <v>1.06489519</v>
      </c>
      <c r="E67">
        <v>-1.452061578</v>
      </c>
      <c r="F67">
        <v>-1.969883314</v>
      </c>
      <c r="G67">
        <v>-1.316624028</v>
      </c>
      <c r="H67">
        <v>1.474907938</v>
      </c>
    </row>
    <row r="68" spans="2:8" ht="12.75">
      <c r="B68" t="s">
        <v>105</v>
      </c>
      <c r="C68">
        <v>0.481483981</v>
      </c>
      <c r="D68">
        <v>2.936900439</v>
      </c>
      <c r="E68">
        <v>-0.813253618</v>
      </c>
      <c r="F68">
        <v>0.241396489</v>
      </c>
      <c r="G68">
        <v>2.399862628</v>
      </c>
      <c r="H68">
        <v>0.722985189</v>
      </c>
    </row>
    <row r="69" spans="2:8" ht="12.75">
      <c r="B69" t="s">
        <v>106</v>
      </c>
      <c r="C69" s="154">
        <v>5.91278E-05</v>
      </c>
      <c r="D69" s="154">
        <v>-2.47955E-05</v>
      </c>
      <c r="E69">
        <v>0.000131607</v>
      </c>
      <c r="F69" s="154">
        <v>-2.00272E-05</v>
      </c>
      <c r="G69">
        <v>0.000102997</v>
      </c>
      <c r="H69">
        <v>0.000222206</v>
      </c>
    </row>
    <row r="70" spans="2:8" ht="12.75">
      <c r="B70" t="s">
        <v>107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</row>
    <row r="71" spans="2:8" ht="12.75">
      <c r="B71" t="s">
        <v>108</v>
      </c>
      <c r="C71">
        <v>539</v>
      </c>
      <c r="D71">
        <v>550</v>
      </c>
      <c r="E71">
        <v>550</v>
      </c>
      <c r="F71">
        <v>550</v>
      </c>
      <c r="G71">
        <v>550</v>
      </c>
      <c r="H71">
        <v>550</v>
      </c>
    </row>
    <row r="73" spans="2:8" ht="12.75">
      <c r="B73" t="s">
        <v>95</v>
      </c>
      <c r="C73">
        <v>31</v>
      </c>
      <c r="D73">
        <v>32</v>
      </c>
      <c r="E73">
        <v>38</v>
      </c>
      <c r="F73">
        <v>39</v>
      </c>
      <c r="G73">
        <v>40</v>
      </c>
      <c r="H73">
        <v>41</v>
      </c>
    </row>
    <row r="74" spans="2:8" ht="12.75">
      <c r="B74" t="s">
        <v>96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</row>
    <row r="75" spans="2:8" ht="12.75">
      <c r="B75" t="s">
        <v>98</v>
      </c>
      <c r="C75">
        <v>0.007572</v>
      </c>
      <c r="D75">
        <v>0.012812</v>
      </c>
      <c r="E75">
        <v>0.000513</v>
      </c>
      <c r="F75">
        <v>0.000427</v>
      </c>
      <c r="G75">
        <v>0.000134</v>
      </c>
      <c r="H75">
        <v>0.001563</v>
      </c>
    </row>
    <row r="76" spans="2:8" ht="12.75">
      <c r="B76" t="s">
        <v>99</v>
      </c>
      <c r="C76">
        <v>49152</v>
      </c>
      <c r="D76">
        <v>49152</v>
      </c>
      <c r="E76">
        <v>0</v>
      </c>
      <c r="F76">
        <v>0</v>
      </c>
      <c r="G76">
        <v>0</v>
      </c>
      <c r="H76">
        <v>0</v>
      </c>
    </row>
    <row r="77" spans="2:8" ht="12.75">
      <c r="B77" t="s">
        <v>100</v>
      </c>
      <c r="C77">
        <v>0.976087601</v>
      </c>
      <c r="D77">
        <v>0.959836841</v>
      </c>
      <c r="E77">
        <v>1.130147815</v>
      </c>
      <c r="F77">
        <v>1.126093415</v>
      </c>
      <c r="G77">
        <v>1.126227805</v>
      </c>
      <c r="H77">
        <v>1.129863326</v>
      </c>
    </row>
    <row r="78" spans="2:8" ht="12.75">
      <c r="B78" t="s">
        <v>101</v>
      </c>
      <c r="C78" s="154">
        <v>-7.84002E-09</v>
      </c>
      <c r="D78" s="154">
        <v>-7.85224E-09</v>
      </c>
      <c r="E78" s="154">
        <v>-6.73523E-09</v>
      </c>
      <c r="F78" s="154">
        <v>-6.79282E-09</v>
      </c>
      <c r="G78" s="154">
        <v>-6.79108E-09</v>
      </c>
      <c r="H78" s="154">
        <v>-6.73872E-09</v>
      </c>
    </row>
    <row r="79" spans="2:8" ht="12.75">
      <c r="B79" t="s">
        <v>102</v>
      </c>
      <c r="C79">
        <v>5153.6</v>
      </c>
      <c r="D79">
        <v>5153.5</v>
      </c>
      <c r="E79">
        <v>5050.6</v>
      </c>
      <c r="F79">
        <v>5050.6</v>
      </c>
      <c r="G79">
        <v>5050.6</v>
      </c>
      <c r="H79">
        <v>5050.6</v>
      </c>
    </row>
    <row r="80" spans="2:8" ht="12.75">
      <c r="B80" t="s">
        <v>103</v>
      </c>
      <c r="C80">
        <v>-2.390874182</v>
      </c>
      <c r="D80">
        <v>1.882494678</v>
      </c>
      <c r="E80">
        <v>2.052908626</v>
      </c>
      <c r="F80">
        <v>2.054653955</v>
      </c>
      <c r="G80">
        <v>2.054898301</v>
      </c>
      <c r="H80">
        <v>2.052437387</v>
      </c>
    </row>
    <row r="81" spans="2:8" ht="12.75">
      <c r="B81" t="s">
        <v>104</v>
      </c>
      <c r="C81">
        <v>-1.084076358</v>
      </c>
      <c r="D81">
        <v>-1.012325873</v>
      </c>
      <c r="E81">
        <v>0.300859856</v>
      </c>
      <c r="F81">
        <v>0.217345852</v>
      </c>
      <c r="G81">
        <v>0.980124548</v>
      </c>
      <c r="H81">
        <v>2.32216057</v>
      </c>
    </row>
    <row r="82" spans="2:8" ht="12.75">
      <c r="B82" t="s">
        <v>105</v>
      </c>
      <c r="C82">
        <v>3.069370929</v>
      </c>
      <c r="D82">
        <v>-2.378412532</v>
      </c>
      <c r="E82">
        <v>-4.25767835</v>
      </c>
      <c r="F82">
        <v>-4.981431485</v>
      </c>
      <c r="G82">
        <v>-0.241344129</v>
      </c>
      <c r="H82">
        <v>-2.350085838</v>
      </c>
    </row>
    <row r="83" spans="2:8" ht="12.75">
      <c r="B83" t="s">
        <v>106</v>
      </c>
      <c r="C83" s="154">
        <v>-4.76837E-05</v>
      </c>
      <c r="D83">
        <v>7.9155E-05</v>
      </c>
      <c r="E83">
        <v>0</v>
      </c>
      <c r="F83">
        <v>0</v>
      </c>
      <c r="G83">
        <v>0</v>
      </c>
      <c r="H83">
        <v>0</v>
      </c>
    </row>
    <row r="84" spans="2:8" ht="12.75">
      <c r="B84" t="s">
        <v>107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</row>
    <row r="85" spans="2:8" ht="12.75">
      <c r="B85" t="s">
        <v>108</v>
      </c>
      <c r="C85">
        <v>550</v>
      </c>
      <c r="D85">
        <v>550</v>
      </c>
      <c r="E85">
        <v>549</v>
      </c>
      <c r="F85">
        <v>549</v>
      </c>
      <c r="G85">
        <v>549</v>
      </c>
      <c r="H85">
        <v>549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2010-12-12T16:07:37Z</cp:lastPrinted>
  <dcterms:created xsi:type="dcterms:W3CDTF">2005-02-07T14:29:58Z</dcterms:created>
  <dcterms:modified xsi:type="dcterms:W3CDTF">2016-03-18T16:04:23Z</dcterms:modified>
  <cp:category/>
  <cp:version/>
  <cp:contentType/>
  <cp:contentStatus/>
</cp:coreProperties>
</file>