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0" windowWidth="15200" windowHeight="4587" activeTab="0"/>
  </bookViews>
  <sheets>
    <sheet name="Sat.Koordinate" sheetId="1" r:id="rId1"/>
    <sheet name="Sat_1" sheetId="2" r:id="rId2"/>
    <sheet name="Sat_2" sheetId="3" r:id="rId3"/>
    <sheet name="Sat_3" sheetId="4" r:id="rId4"/>
    <sheet name="Tabelle1" sheetId="5" r:id="rId5"/>
  </sheets>
  <definedNames>
    <definedName name="rho">'Sat.Koordinate'!$G$4</definedName>
  </definedNames>
  <calcPr fullCalcOnLoad="1"/>
</workbook>
</file>

<file path=xl/sharedStrings.xml><?xml version="1.0" encoding="utf-8"?>
<sst xmlns="http://schemas.openxmlformats.org/spreadsheetml/2006/main" count="149" uniqueCount="89">
  <si>
    <t>Mittlere Anomalie</t>
  </si>
  <si>
    <t>Korrekturglied zur mittleren Winkelgeschwindigkeit</t>
  </si>
  <si>
    <t>Exzentrizität der Bahnellipse</t>
  </si>
  <si>
    <t>Bahnneigung zur Referenzzeit</t>
  </si>
  <si>
    <t>Argument des Perigäums</t>
  </si>
  <si>
    <t>Zeitliche Änderung der Rektaszension des aufsteigenden Knotens</t>
  </si>
  <si>
    <t>zeitliche Änderung der Bahneigung</t>
  </si>
  <si>
    <t>Korrekturglied zum Radiusvektor</t>
  </si>
  <si>
    <t>Korrekturglied zur Bahnneigung</t>
  </si>
  <si>
    <t>Referenzzeit für die Ephemeriden</t>
  </si>
  <si>
    <t>Korrekturglied zum Argument der Breite</t>
  </si>
  <si>
    <r>
      <t>M</t>
    </r>
    <r>
      <rPr>
        <vertAlign val="subscript"/>
        <sz val="10"/>
        <rFont val="Arial"/>
        <family val="2"/>
      </rPr>
      <t>0</t>
    </r>
  </si>
  <si>
    <r>
      <t>D</t>
    </r>
    <r>
      <rPr>
        <sz val="10"/>
        <rFont val="Arial"/>
        <family val="0"/>
      </rPr>
      <t>n</t>
    </r>
  </si>
  <si>
    <t>e</t>
  </si>
  <si>
    <t>Parameter für die Rektaszension des aufsteigenden Körpers</t>
  </si>
  <si>
    <r>
      <t>W</t>
    </r>
    <r>
      <rPr>
        <vertAlign val="subscript"/>
        <sz val="10"/>
        <rFont val="Arial"/>
        <family val="2"/>
      </rPr>
      <t>0</t>
    </r>
  </si>
  <si>
    <r>
      <t>i</t>
    </r>
    <r>
      <rPr>
        <vertAlign val="subscript"/>
        <sz val="10"/>
        <rFont val="Arial"/>
        <family val="2"/>
      </rPr>
      <t>0</t>
    </r>
  </si>
  <si>
    <t>w</t>
  </si>
  <si>
    <t>t(r)</t>
  </si>
  <si>
    <r>
      <t>C</t>
    </r>
    <r>
      <rPr>
        <vertAlign val="subscript"/>
        <sz val="10"/>
        <rFont val="Arial"/>
        <family val="2"/>
      </rPr>
      <t>uc</t>
    </r>
  </si>
  <si>
    <r>
      <t>C</t>
    </r>
    <r>
      <rPr>
        <vertAlign val="subscript"/>
        <sz val="10"/>
        <rFont val="Arial"/>
        <family val="2"/>
      </rPr>
      <t>us</t>
    </r>
  </si>
  <si>
    <r>
      <t>C</t>
    </r>
    <r>
      <rPr>
        <vertAlign val="subscript"/>
        <sz val="10"/>
        <rFont val="Arial"/>
        <family val="2"/>
      </rPr>
      <t>rc</t>
    </r>
  </si>
  <si>
    <r>
      <t>C</t>
    </r>
    <r>
      <rPr>
        <vertAlign val="subscript"/>
        <sz val="10"/>
        <rFont val="Arial"/>
        <family val="2"/>
      </rPr>
      <t>rs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</si>
  <si>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</si>
  <si>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is</t>
    </r>
  </si>
  <si>
    <t>Zeitdifferenz zwischen Beobachtungszeit und Referenzzeit</t>
  </si>
  <si>
    <r>
      <t>D</t>
    </r>
    <r>
      <rPr>
        <sz val="10"/>
        <rFont val="Arial"/>
        <family val="0"/>
      </rPr>
      <t>t</t>
    </r>
  </si>
  <si>
    <t>Beobachtungszeit</t>
  </si>
  <si>
    <t>Std</t>
  </si>
  <si>
    <t>Min</t>
  </si>
  <si>
    <t>Sek</t>
  </si>
  <si>
    <t>n(k)</t>
  </si>
  <si>
    <t>Mittlere Winkelgeschwindigkeit</t>
  </si>
  <si>
    <t>M(k)</t>
  </si>
  <si>
    <t>rad</t>
  </si>
  <si>
    <t>rad/sec</t>
  </si>
  <si>
    <r>
      <t>m</t>
    </r>
    <r>
      <rPr>
        <vertAlign val="superscript"/>
        <sz val="10"/>
        <rFont val="Arial"/>
        <family val="2"/>
      </rPr>
      <t>-2</t>
    </r>
  </si>
  <si>
    <t>m</t>
  </si>
  <si>
    <t>E(k)</t>
  </si>
  <si>
    <t>Wahre Anomalie</t>
  </si>
  <si>
    <t>u(k)</t>
  </si>
  <si>
    <r>
      <t>u</t>
    </r>
    <r>
      <rPr>
        <vertAlign val="subscript"/>
        <sz val="10"/>
        <rFont val="Arial"/>
        <family val="2"/>
      </rPr>
      <t>0</t>
    </r>
  </si>
  <si>
    <r>
      <t>D</t>
    </r>
    <r>
      <rPr>
        <sz val="10"/>
        <rFont val="Arial"/>
        <family val="0"/>
      </rPr>
      <t>u</t>
    </r>
  </si>
  <si>
    <t>Radiusvektor</t>
  </si>
  <si>
    <r>
      <t>r</t>
    </r>
    <r>
      <rPr>
        <vertAlign val="subscript"/>
        <sz val="10"/>
        <rFont val="Arial"/>
        <family val="2"/>
      </rPr>
      <t>0</t>
    </r>
  </si>
  <si>
    <r>
      <t>D</t>
    </r>
    <r>
      <rPr>
        <sz val="10"/>
        <rFont val="Arial"/>
        <family val="0"/>
      </rPr>
      <t>r</t>
    </r>
  </si>
  <si>
    <r>
      <t>b</t>
    </r>
    <r>
      <rPr>
        <sz val="10"/>
        <rFont val="Arial"/>
        <family val="0"/>
      </rPr>
      <t>(k)</t>
    </r>
  </si>
  <si>
    <t>Bahnneigung</t>
  </si>
  <si>
    <t>i(k)</t>
  </si>
  <si>
    <r>
      <t>D</t>
    </r>
    <r>
      <rPr>
        <sz val="10"/>
        <rFont val="Arial"/>
        <family val="0"/>
      </rPr>
      <t>i</t>
    </r>
  </si>
  <si>
    <t>t(k)</t>
  </si>
  <si>
    <t>G*M</t>
  </si>
  <si>
    <r>
      <t>w</t>
    </r>
    <r>
      <rPr>
        <vertAlign val="subscript"/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</si>
  <si>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  <r>
      <rPr>
        <vertAlign val="superscript"/>
        <sz val="10"/>
        <rFont val="Arial"/>
        <family val="2"/>
      </rPr>
      <t>2</t>
    </r>
  </si>
  <si>
    <t>Rotationsgeschwindigkeit der Erde</t>
  </si>
  <si>
    <t>WGS 84 - Konstanten</t>
  </si>
  <si>
    <r>
      <t>n</t>
    </r>
    <r>
      <rPr>
        <sz val="10"/>
        <rFont val="Arial"/>
        <family val="0"/>
      </rPr>
      <t>(k)</t>
    </r>
  </si>
  <si>
    <t>sec</t>
  </si>
  <si>
    <t>Exzentische Anomalie                             (Iterative Lösung)</t>
  </si>
  <si>
    <r>
      <t>X</t>
    </r>
    <r>
      <rPr>
        <vertAlign val="subscript"/>
        <sz val="10"/>
        <rFont val="Arial"/>
        <family val="2"/>
      </rPr>
      <t>PE</t>
    </r>
  </si>
  <si>
    <r>
      <t>Y</t>
    </r>
    <r>
      <rPr>
        <vertAlign val="subscript"/>
        <sz val="10"/>
        <rFont val="Arial"/>
        <family val="2"/>
      </rPr>
      <t>PE</t>
    </r>
  </si>
  <si>
    <t xml:space="preserve">Satelliten - Koordinate </t>
  </si>
  <si>
    <r>
      <t>X</t>
    </r>
    <r>
      <rPr>
        <vertAlign val="subscript"/>
        <sz val="10"/>
        <rFont val="Arial"/>
        <family val="2"/>
      </rPr>
      <t>KN</t>
    </r>
  </si>
  <si>
    <r>
      <t>Y</t>
    </r>
    <r>
      <rPr>
        <vertAlign val="subscript"/>
        <sz val="10"/>
        <rFont val="Arial"/>
        <family val="2"/>
      </rPr>
      <t>KN</t>
    </r>
  </si>
  <si>
    <t>r(k)</t>
  </si>
  <si>
    <t>min</t>
  </si>
  <si>
    <t xml:space="preserve">Geozentrische Gravitationskonstante </t>
  </si>
  <si>
    <t>2. Berechnung der aktuellen Satellitenposition</t>
  </si>
  <si>
    <r>
      <t>X</t>
    </r>
    <r>
      <rPr>
        <vertAlign val="subscript"/>
        <sz val="10"/>
        <rFont val="Arial"/>
        <family val="2"/>
      </rPr>
      <t>CT</t>
    </r>
  </si>
  <si>
    <r>
      <t>Y</t>
    </r>
    <r>
      <rPr>
        <vertAlign val="subscript"/>
        <sz val="10"/>
        <rFont val="Arial"/>
        <family val="2"/>
      </rPr>
      <t>CT</t>
    </r>
  </si>
  <si>
    <r>
      <t>Z</t>
    </r>
    <r>
      <rPr>
        <vertAlign val="subscript"/>
        <sz val="10"/>
        <rFont val="Arial"/>
        <family val="2"/>
      </rPr>
      <t>CT</t>
    </r>
  </si>
  <si>
    <t>Argument der Breite                                (Argument des Perigäumus + Wahre Anomalie)</t>
  </si>
  <si>
    <t>Geozentrisch / kartesische Koordinaten des Satelliten</t>
  </si>
  <si>
    <t>Grad</t>
  </si>
  <si>
    <t>h</t>
  </si>
  <si>
    <t>Quadratwurzel der großen Halbachse (Bahnellipse)</t>
  </si>
  <si>
    <t>s</t>
  </si>
  <si>
    <t>Grad/sec</t>
  </si>
  <si>
    <t xml:space="preserve">       </t>
  </si>
  <si>
    <t>18 10  2  2  2  0  0,0</t>
  </si>
  <si>
    <t>4 10  2  2  4  0  0.0</t>
  </si>
  <si>
    <t>1. Ephemeriden</t>
  </si>
  <si>
    <t>SV (1,2,3)</t>
  </si>
  <si>
    <t>PRN</t>
  </si>
  <si>
    <t>Das Ergebnis: Geozentrisch / kartesische Koordinaten des Satelliten</t>
  </si>
  <si>
    <t>Berechnung von geozentrisch / kartesischen Koordinaten von GPS Satelliten aus GPS Ephemeriden</t>
  </si>
  <si>
    <r>
      <t xml:space="preserve">In den </t>
    </r>
    <r>
      <rPr>
        <b/>
        <sz val="11"/>
        <color indexed="13"/>
        <rFont val="Arial"/>
        <family val="2"/>
      </rPr>
      <t>gelb hinterlegten</t>
    </r>
    <r>
      <rPr>
        <b/>
        <sz val="11"/>
        <color indexed="9"/>
        <rFont val="Arial"/>
        <family val="2"/>
      </rPr>
      <t xml:space="preserve"> Zellen können die Parameter geändert werden. Die Ergebnisse sind in den </t>
    </r>
    <r>
      <rPr>
        <b/>
        <sz val="11"/>
        <color indexed="11"/>
        <rFont val="Arial"/>
        <family val="2"/>
      </rPr>
      <t>grün hinterlegten</t>
    </r>
    <r>
      <rPr>
        <b/>
        <sz val="11"/>
        <color indexed="9"/>
        <rFont val="Arial"/>
        <family val="2"/>
      </rPr>
      <t xml:space="preserve"> Zellen dokumentiert.</t>
    </r>
  </si>
  <si>
    <t>Länge d. aufsteigenden Knotens</t>
  </si>
  <si>
    <t>Grad / sec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</si>
</sst>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0000000000000"/>
    <numFmt numFmtId="168" formatCode="h:mm:ss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0000"/>
    <numFmt numFmtId="182" formatCode="0.00000000000000000000"/>
    <numFmt numFmtId="183" formatCode="0.000000000000000000000"/>
    <numFmt numFmtId="184" formatCode="0.00000000000000000"/>
    <numFmt numFmtId="185" formatCode="0.0000000000000000"/>
    <numFmt numFmtId="186" formatCode="0.000000000000000"/>
    <numFmt numFmtId="187" formatCode="0.000E+00"/>
    <numFmt numFmtId="188" formatCode="0.0000E+00"/>
    <numFmt numFmtId="189" formatCode="0.00000E+00"/>
    <numFmt numFmtId="190" formatCode="0.000000E+00"/>
    <numFmt numFmtId="191" formatCode="0.00000000000000000000000000"/>
    <numFmt numFmtId="192" formatCode="0.0000000000000000000000000"/>
    <numFmt numFmtId="193" formatCode="0.000000000000000000000000"/>
    <numFmt numFmtId="194" formatCode="0.00000000000000000000000"/>
    <numFmt numFmtId="195" formatCode="0.0000000000000000000000"/>
    <numFmt numFmtId="196" formatCode="#,##0.000"/>
    <numFmt numFmtId="197" formatCode="#,##0.000000000000"/>
    <numFmt numFmtId="198" formatCode="#,##0.000000000"/>
    <numFmt numFmtId="199" formatCode="#,##0.0"/>
    <numFmt numFmtId="200" formatCode="#,##0.0000"/>
    <numFmt numFmtId="201" formatCode="0.0"/>
    <numFmt numFmtId="202" formatCode="0.0000000000E+00"/>
    <numFmt numFmtId="203" formatCode="#,##0.00_ ;\-#,##0.00\ "/>
    <numFmt numFmtId="204" formatCode="#,##0.000_ ;\-#,##0.000\ "/>
    <numFmt numFmtId="205" formatCode="#,##0.0000_ ;\-#,##0.0000\ "/>
    <numFmt numFmtId="206" formatCode="#,##0.00000_ ;\-#,##0.00000\ "/>
    <numFmt numFmtId="207" formatCode="#,##0.000000_ ;\-#,##0.000000\ "/>
    <numFmt numFmtId="208" formatCode="#,##0.0000000_ ;\-#,##0.0000000\ "/>
    <numFmt numFmtId="209" formatCode="#,##0.00000000_ ;\-#,##0.00000000\ "/>
    <numFmt numFmtId="210" formatCode="#,##0.000000000_ ;\-#,##0.000000000\ "/>
    <numFmt numFmtId="211" formatCode="#,##0.0000000000_ ;\-#,##0.0000000000\ "/>
    <numFmt numFmtId="212" formatCode="#,##0.00000000000_ ;\-#,##0.00000000000\ "/>
    <numFmt numFmtId="213" formatCode="0.0E+00"/>
  </numFmts>
  <fonts count="47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11"/>
      <color indexed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/>
    </xf>
    <xf numFmtId="176" fontId="0" fillId="0" borderId="22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176" fontId="0" fillId="0" borderId="16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172" fontId="0" fillId="0" borderId="16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90" fontId="0" fillId="0" borderId="22" xfId="0" applyNumberFormat="1" applyFill="1" applyBorder="1" applyAlignment="1">
      <alignment/>
    </xf>
    <xf numFmtId="190" fontId="0" fillId="0" borderId="31" xfId="0" applyNumberFormat="1" applyFill="1" applyBorder="1" applyAlignment="1">
      <alignment/>
    </xf>
    <xf numFmtId="176" fontId="0" fillId="0" borderId="22" xfId="0" applyNumberFormat="1" applyFill="1" applyBorder="1" applyAlignment="1">
      <alignment vertical="center" shrinkToFit="1"/>
    </xf>
    <xf numFmtId="176" fontId="0" fillId="0" borderId="16" xfId="0" applyNumberFormat="1" applyFill="1" applyBorder="1" applyAlignment="1">
      <alignment vertical="center" shrinkToFit="1"/>
    </xf>
    <xf numFmtId="169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30" xfId="0" applyFill="1" applyBorder="1" applyAlignment="1">
      <alignment horizontal="left"/>
    </xf>
    <xf numFmtId="4" fontId="0" fillId="33" borderId="10" xfId="0" applyNumberFormat="1" applyFill="1" applyBorder="1" applyAlignment="1">
      <alignment/>
    </xf>
    <xf numFmtId="0" fontId="0" fillId="33" borderId="27" xfId="0" applyFill="1" applyBorder="1" applyAlignment="1">
      <alignment horizontal="left"/>
    </xf>
    <xf numFmtId="4" fontId="0" fillId="33" borderId="14" xfId="0" applyNumberFormat="1" applyFill="1" applyBorder="1" applyAlignment="1">
      <alignment/>
    </xf>
    <xf numFmtId="0" fontId="0" fillId="33" borderId="29" xfId="0" applyFill="1" applyBorder="1" applyAlignment="1">
      <alignment horizontal="left"/>
    </xf>
    <xf numFmtId="2" fontId="0" fillId="0" borderId="22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6" xfId="45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" fontId="0" fillId="0" borderId="10" xfId="0" applyNumberFormat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6" fillId="0" borderId="10" xfId="0" applyFont="1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2" fontId="6" fillId="34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176" fontId="0" fillId="0" borderId="17" xfId="0" applyNumberFormat="1" applyBorder="1" applyAlignment="1">
      <alignment vertic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176" fontId="0" fillId="0" borderId="10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213" fontId="0" fillId="0" borderId="10" xfId="0" applyNumberFormat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right" vertical="center"/>
    </xf>
    <xf numFmtId="0" fontId="0" fillId="0" borderId="27" xfId="0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6" fontId="0" fillId="0" borderId="28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1" fontId="0" fillId="0" borderId="28" xfId="0" applyNumberFormat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85725</xdr:rowOff>
    </xdr:from>
    <xdr:to>
      <xdr:col>1</xdr:col>
      <xdr:colOff>457200</xdr:colOff>
      <xdr:row>17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480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4"/>
  <sheetViews>
    <sheetView showGridLines="0" tabSelected="1" zoomScalePageLayoutView="0" workbookViewId="0" topLeftCell="A1">
      <selection activeCell="I2" sqref="I2"/>
    </sheetView>
  </sheetViews>
  <sheetFormatPr defaultColWidth="11.421875" defaultRowHeight="12.75"/>
  <cols>
    <col min="1" max="1" width="0.9921875" style="0" customWidth="1"/>
    <col min="2" max="2" width="8.00390625" style="0" customWidth="1"/>
    <col min="3" max="3" width="35.28125" style="0" customWidth="1"/>
    <col min="4" max="4" width="15.421875" style="0" customWidth="1"/>
    <col min="5" max="5" width="8.28125" style="0" customWidth="1"/>
    <col min="6" max="6" width="8.8515625" style="0" customWidth="1"/>
    <col min="7" max="7" width="9.57421875" style="0" customWidth="1"/>
    <col min="8" max="8" width="7.28125" style="0" customWidth="1"/>
    <col min="9" max="9" width="11.8515625" style="0" customWidth="1"/>
    <col min="10" max="10" width="25.421875" style="0" customWidth="1"/>
    <col min="11" max="11" width="14.8515625" style="0" customWidth="1"/>
    <col min="12" max="12" width="7.140625" style="0" customWidth="1"/>
  </cols>
  <sheetData>
    <row r="1" ht="12.75" thickBot="1"/>
    <row r="2" spans="2:7" ht="15" customHeight="1">
      <c r="B2" s="130" t="s">
        <v>85</v>
      </c>
      <c r="C2" s="131"/>
      <c r="D2" s="131"/>
      <c r="E2" s="131"/>
      <c r="F2" s="131"/>
      <c r="G2" s="132"/>
    </row>
    <row r="3" spans="2:11" ht="13.5" thickBot="1">
      <c r="B3" s="133"/>
      <c r="C3" s="134"/>
      <c r="D3" s="134"/>
      <c r="E3" s="134"/>
      <c r="F3" s="134"/>
      <c r="G3" s="135"/>
      <c r="I3" s="101" t="s">
        <v>67</v>
      </c>
      <c r="J3" s="101"/>
      <c r="K3" s="101"/>
    </row>
    <row r="4" spans="2:14" ht="14.25">
      <c r="B4" s="97"/>
      <c r="C4" s="97"/>
      <c r="D4" s="97"/>
      <c r="E4" s="97"/>
      <c r="F4" s="97"/>
      <c r="G4" s="104">
        <f>180/PI()</f>
        <v>57.29577951308232</v>
      </c>
      <c r="I4" s="137" t="s">
        <v>50</v>
      </c>
      <c r="J4" s="150" t="s">
        <v>27</v>
      </c>
      <c r="K4" s="151"/>
      <c r="L4" s="152"/>
      <c r="M4" s="99">
        <v>3</v>
      </c>
      <c r="N4" s="20" t="s">
        <v>28</v>
      </c>
    </row>
    <row r="5" spans="2:14" ht="15" customHeight="1">
      <c r="B5" s="136" t="s">
        <v>86</v>
      </c>
      <c r="C5" s="136"/>
      <c r="D5" s="136"/>
      <c r="E5" s="136"/>
      <c r="F5" s="136"/>
      <c r="G5" s="136"/>
      <c r="I5" s="138"/>
      <c r="J5" s="153"/>
      <c r="K5" s="154"/>
      <c r="L5" s="155"/>
      <c r="M5" s="99">
        <v>5</v>
      </c>
      <c r="N5" s="20" t="s">
        <v>29</v>
      </c>
    </row>
    <row r="6" spans="2:14" ht="12.75">
      <c r="B6" s="136"/>
      <c r="C6" s="136"/>
      <c r="D6" s="136"/>
      <c r="E6" s="136"/>
      <c r="F6" s="136"/>
      <c r="G6" s="136"/>
      <c r="I6" s="139"/>
      <c r="J6" s="156"/>
      <c r="K6" s="157"/>
      <c r="L6" s="158"/>
      <c r="M6" s="100">
        <v>0</v>
      </c>
      <c r="N6" s="20" t="s">
        <v>30</v>
      </c>
    </row>
    <row r="7" ht="12.75">
      <c r="B7" s="96" t="s">
        <v>81</v>
      </c>
    </row>
    <row r="8" spans="2:14" ht="12.75">
      <c r="B8" s="59"/>
      <c r="C8" s="59" t="s">
        <v>82</v>
      </c>
      <c r="D8" s="98">
        <v>1</v>
      </c>
      <c r="E8" s="60"/>
      <c r="F8" s="59" t="s">
        <v>83</v>
      </c>
      <c r="G8" s="81">
        <f>IF(D8=1,Sat_1!B4,IF(D8=2,Sat_2!B4,IF(D8=3,Sat_3!B4)))</f>
        <v>8</v>
      </c>
      <c r="I8" s="82"/>
      <c r="J8" s="164" t="s">
        <v>84</v>
      </c>
      <c r="K8" s="166"/>
      <c r="L8" s="166"/>
      <c r="M8" s="166"/>
      <c r="N8" s="165"/>
    </row>
    <row r="9" spans="2:14" ht="16.5">
      <c r="B9" s="13" t="s">
        <v>11</v>
      </c>
      <c r="C9" s="56" t="s">
        <v>0</v>
      </c>
      <c r="D9" s="74">
        <f>IF($D$8=1,Sat_1!F5,IF($D$8=2,Sat_2!F5,IF($D$8=3,Sat_3!F5)))</f>
        <v>1.48906666615</v>
      </c>
      <c r="E9" s="57" t="s">
        <v>34</v>
      </c>
      <c r="F9" s="16">
        <f>D9*rho</f>
        <v>85.31723538401097</v>
      </c>
      <c r="G9" s="58" t="s">
        <v>73</v>
      </c>
      <c r="I9" s="82"/>
      <c r="J9" s="83" t="str">
        <f>I46</f>
        <v>XCT</v>
      </c>
      <c r="K9" s="91" t="str">
        <f>I47</f>
        <v>YCT</v>
      </c>
      <c r="L9" s="92"/>
      <c r="M9" s="164" t="str">
        <f>I48</f>
        <v>ZCT</v>
      </c>
      <c r="N9" s="165"/>
    </row>
    <row r="10" spans="2:14" ht="14.25" customHeight="1">
      <c r="B10" s="121" t="s">
        <v>12</v>
      </c>
      <c r="C10" s="123" t="s">
        <v>1</v>
      </c>
      <c r="D10" s="125">
        <f>IF($D$8=1,Sat_1!E6,IF($D$8=2,Sat_2!E6,IF($D$8=3,Sat_3!E6)))</f>
        <v>6.57513737679E-06</v>
      </c>
      <c r="E10" s="51" t="s">
        <v>35</v>
      </c>
      <c r="F10" s="127">
        <f>D10*rho</f>
        <v>0.0003767276214087863</v>
      </c>
      <c r="G10" s="140" t="s">
        <v>77</v>
      </c>
      <c r="I10" s="82"/>
      <c r="J10" s="80">
        <f>K46</f>
        <v>-17566945.077645708</v>
      </c>
      <c r="K10" s="93">
        <f>K47</f>
        <v>3220975.995646842</v>
      </c>
      <c r="L10" s="94"/>
      <c r="M10" s="162">
        <f>K48</f>
        <v>-19854985.663143083</v>
      </c>
      <c r="N10" s="163"/>
    </row>
    <row r="11" spans="2:7" ht="12.75">
      <c r="B11" s="122"/>
      <c r="C11" s="124"/>
      <c r="D11" s="126"/>
      <c r="E11" s="78"/>
      <c r="F11" s="128"/>
      <c r="G11" s="141"/>
    </row>
    <row r="12" spans="2:14" ht="24.75" customHeight="1">
      <c r="B12" s="11" t="s">
        <v>13</v>
      </c>
      <c r="C12" s="29" t="s">
        <v>2</v>
      </c>
      <c r="D12" s="107">
        <f>IF($D$8=1,Sat_1!D6,IF($D$8=2,Sat_2!D6,IF($D$8=3,Sat_3!D6)))</f>
        <v>0.0109486053698</v>
      </c>
      <c r="E12" s="20"/>
      <c r="F12" s="9"/>
      <c r="G12" s="46"/>
      <c r="I12" s="77" t="s">
        <v>26</v>
      </c>
      <c r="J12" s="167" t="s">
        <v>25</v>
      </c>
      <c r="K12" s="168"/>
      <c r="L12" s="169"/>
      <c r="M12" s="79">
        <f>(M4*3600+M5*60+M6)-(D26*3600+D27*60+D28)</f>
        <v>3900</v>
      </c>
      <c r="N12" s="45" t="s">
        <v>57</v>
      </c>
    </row>
    <row r="13" spans="2:14" ht="23.25" customHeight="1">
      <c r="B13" s="11"/>
      <c r="C13" s="29" t="s">
        <v>75</v>
      </c>
      <c r="D13" s="73">
        <f>IF($D$8=1,Sat_1!F6,IF($D$8=2,Sat_2!F6,IF($D$8=3,Sat_3!F6)))</f>
        <v>5153.72089958</v>
      </c>
      <c r="E13" s="45" t="s">
        <v>36</v>
      </c>
      <c r="F13" s="9"/>
      <c r="G13" s="46"/>
      <c r="I13" s="7" t="s">
        <v>31</v>
      </c>
      <c r="J13" s="95" t="s">
        <v>32</v>
      </c>
      <c r="K13" s="34">
        <f>SQRT(D47/((D13)^2)^3)+D10</f>
        <v>0.00015242507000138786</v>
      </c>
      <c r="L13" s="33" t="s">
        <v>35</v>
      </c>
      <c r="M13" s="22">
        <f>K13*rho</f>
        <v>0.008733313203065658</v>
      </c>
      <c r="N13" s="23" t="s">
        <v>77</v>
      </c>
    </row>
    <row r="14" spans="2:14" ht="26.25" customHeight="1">
      <c r="B14" s="42" t="s">
        <v>15</v>
      </c>
      <c r="C14" s="29" t="s">
        <v>14</v>
      </c>
      <c r="D14" s="106">
        <f>IF($D$8=1,Sat_1!E7,IF($D$8=2,Sat_2!E7,IF($D$8=3,Sat_3!E7)))</f>
        <v>-1.69903460064</v>
      </c>
      <c r="E14" s="51" t="s">
        <v>34</v>
      </c>
      <c r="F14" s="49">
        <f>D14*rho</f>
        <v>-97.34751186336732</v>
      </c>
      <c r="G14" s="50" t="s">
        <v>73</v>
      </c>
      <c r="I14" s="7" t="s">
        <v>33</v>
      </c>
      <c r="J14" s="95" t="s">
        <v>0</v>
      </c>
      <c r="K14" s="31">
        <f>MOD(D9+K13*M12,2*PI())</f>
        <v>2.0835244391554126</v>
      </c>
      <c r="L14" s="33" t="s">
        <v>34</v>
      </c>
      <c r="M14" s="22">
        <f>K14*rho</f>
        <v>119.37715687596703</v>
      </c>
      <c r="N14" s="23" t="s">
        <v>73</v>
      </c>
    </row>
    <row r="15" spans="2:7" ht="16.5" customHeight="1">
      <c r="B15" s="10" t="s">
        <v>16</v>
      </c>
      <c r="C15" s="29" t="s">
        <v>3</v>
      </c>
      <c r="D15" s="63">
        <f>IF($D$8=1,Sat_1!C8,IF($D$8=2,Sat_2!C8,IF($D$8=3,Sat_3!C8)))</f>
        <v>0.991435709528</v>
      </c>
      <c r="E15" s="20" t="s">
        <v>34</v>
      </c>
      <c r="F15" s="9">
        <f>D15*rho</f>
        <v>56.80508181451262</v>
      </c>
      <c r="G15" s="46" t="s">
        <v>73</v>
      </c>
    </row>
    <row r="16" spans="2:14" ht="21.75" customHeight="1">
      <c r="B16" s="42" t="s">
        <v>17</v>
      </c>
      <c r="C16" s="29" t="s">
        <v>4</v>
      </c>
      <c r="D16" s="64">
        <f>IF($D$8=1,Sat_1!E8,IF($D$8=2,Sat_2!E8,IF($D$8=3,Sat_3!E8)))</f>
        <v>3.08673892076</v>
      </c>
      <c r="E16" s="64" t="s">
        <v>34</v>
      </c>
      <c r="F16" s="87">
        <f>D16*rho</f>
        <v>176.85711261831463</v>
      </c>
      <c r="G16" s="47" t="s">
        <v>73</v>
      </c>
      <c r="I16" s="137" t="s">
        <v>38</v>
      </c>
      <c r="J16" s="137" t="s">
        <v>58</v>
      </c>
      <c r="K16" s="85">
        <f>K14+D12*SIN(K14)</f>
        <v>2.0930651574394368</v>
      </c>
      <c r="L16" s="102"/>
      <c r="M16" s="86">
        <f aca="true" t="shared" si="0" ref="M16:M21">K16*rho</f>
        <v>119.92379976716491</v>
      </c>
      <c r="N16" s="87"/>
    </row>
    <row r="17" spans="2:14" ht="12.75">
      <c r="B17" s="146"/>
      <c r="C17" s="111" t="s">
        <v>5</v>
      </c>
      <c r="D17" s="119">
        <f>IF($D$8=1,Sat_1!F8,IF($D$8=2,Sat_2!F8,IF($D$8=3,Sat_3!F8)))</f>
        <v>-7.99283293357E-09</v>
      </c>
      <c r="E17" s="144" t="s">
        <v>35</v>
      </c>
      <c r="F17" s="142">
        <f>D17*rho</f>
        <v>-4.5795559344672974E-07</v>
      </c>
      <c r="G17" s="120" t="s">
        <v>77</v>
      </c>
      <c r="I17" s="138"/>
      <c r="J17" s="138"/>
      <c r="K17" s="88">
        <f aca="true" t="shared" si="1" ref="K17:K22">$K$14+$D$12*SIN(K16)</f>
        <v>2.0930134816752988</v>
      </c>
      <c r="L17" s="20"/>
      <c r="M17" s="89">
        <f t="shared" si="0"/>
        <v>119.92083896397669</v>
      </c>
      <c r="N17" s="9"/>
    </row>
    <row r="18" spans="2:14" ht="18" customHeight="1">
      <c r="B18" s="146"/>
      <c r="C18" s="111"/>
      <c r="D18" s="119">
        <f>IF($D$8=1,Sat_1!E10,IF($D$8=2,Sat_2!E10,IF($D$8=3,Sat_3!E10)))</f>
        <v>-4.19095158577E-09</v>
      </c>
      <c r="E18" s="145"/>
      <c r="F18" s="143"/>
      <c r="G18" s="120"/>
      <c r="I18" s="138"/>
      <c r="J18" s="138"/>
      <c r="K18" s="88">
        <f t="shared" si="1"/>
        <v>2.09301376389951</v>
      </c>
      <c r="L18" s="20"/>
      <c r="M18" s="89">
        <f t="shared" si="0"/>
        <v>119.92085513423287</v>
      </c>
      <c r="N18" s="9"/>
    </row>
    <row r="19" spans="2:14" ht="19.5" customHeight="1">
      <c r="B19" s="12"/>
      <c r="C19" s="43" t="s">
        <v>6</v>
      </c>
      <c r="D19" s="108">
        <f>IF($D$8=1,Sat_1!C9,IF($D$8=2,Sat_2!C9,IF($D$8=3,Sat_3!C9)))</f>
        <v>2.95726603914E-10</v>
      </c>
      <c r="E19" s="45" t="s">
        <v>35</v>
      </c>
      <c r="F19" s="109">
        <f>D19*rho</f>
        <v>1.6943886294009172E-08</v>
      </c>
      <c r="G19" s="47" t="s">
        <v>88</v>
      </c>
      <c r="I19" s="138"/>
      <c r="J19" s="138"/>
      <c r="K19" s="88">
        <f t="shared" si="1"/>
        <v>2.0930137623582272</v>
      </c>
      <c r="L19" s="20"/>
      <c r="M19" s="89">
        <f t="shared" si="0"/>
        <v>119.92085504592387</v>
      </c>
      <c r="N19" s="9"/>
    </row>
    <row r="20" spans="2:14" ht="16.5">
      <c r="B20" s="11" t="s">
        <v>19</v>
      </c>
      <c r="C20" s="43" t="s">
        <v>10</v>
      </c>
      <c r="D20" s="75">
        <f>IF($D$8=1,Sat_1!C6,IF($D$8=2,Sat_2!C6,IF($D$8=3,Sat_3!C6)))</f>
        <v>4.69945371151E-06</v>
      </c>
      <c r="E20" s="45" t="s">
        <v>34</v>
      </c>
      <c r="F20" s="44">
        <f>D20*rho</f>
        <v>0.00026925886368661336</v>
      </c>
      <c r="G20" s="47" t="s">
        <v>73</v>
      </c>
      <c r="I20" s="138"/>
      <c r="J20" s="138"/>
      <c r="K20" s="88">
        <f t="shared" si="1"/>
        <v>2.0930137623666445</v>
      </c>
      <c r="L20" s="20"/>
      <c r="M20" s="89">
        <f t="shared" si="0"/>
        <v>119.92085504640615</v>
      </c>
      <c r="N20" s="9"/>
    </row>
    <row r="21" spans="2:14" ht="12.75" customHeight="1">
      <c r="B21" s="10" t="s">
        <v>20</v>
      </c>
      <c r="C21" s="43" t="s">
        <v>10</v>
      </c>
      <c r="D21" s="75">
        <f>IF($D$8=1,Sat_1!E6,IF($D$8=2,Sat_2!E6,IF($D$8=3,Sat_3!E6)))</f>
        <v>6.57513737679E-06</v>
      </c>
      <c r="E21" s="20" t="s">
        <v>34</v>
      </c>
      <c r="F21" s="44">
        <f>D21*rho</f>
        <v>0.0003767276214087863</v>
      </c>
      <c r="G21" s="46" t="s">
        <v>73</v>
      </c>
      <c r="I21" s="138"/>
      <c r="J21" s="138"/>
      <c r="K21" s="88">
        <f t="shared" si="1"/>
        <v>2.0930137623665988</v>
      </c>
      <c r="L21" s="20"/>
      <c r="M21" s="89">
        <f t="shared" si="0"/>
        <v>119.92085504640352</v>
      </c>
      <c r="N21" s="9"/>
    </row>
    <row r="22" spans="2:14" ht="16.5">
      <c r="B22" s="10" t="s">
        <v>21</v>
      </c>
      <c r="C22" s="43" t="s">
        <v>7</v>
      </c>
      <c r="D22" s="65">
        <f>IF($D$8=1,Sat_1!D8,IF($D$8=2,Sat_2!D8,IF($D$8=3,Sat_3!D8)))</f>
        <v>267.375</v>
      </c>
      <c r="E22" s="20" t="s">
        <v>37</v>
      </c>
      <c r="F22" s="44"/>
      <c r="G22" s="46"/>
      <c r="I22" s="139"/>
      <c r="J22" s="139"/>
      <c r="K22" s="88">
        <f t="shared" si="1"/>
        <v>2.0930137623665988</v>
      </c>
      <c r="L22" s="20" t="s">
        <v>34</v>
      </c>
      <c r="M22" s="89">
        <f>K22*rho</f>
        <v>119.92085504640352</v>
      </c>
      <c r="N22" s="9" t="s">
        <v>73</v>
      </c>
    </row>
    <row r="23" spans="2:7" ht="16.5">
      <c r="B23" s="10" t="s">
        <v>22</v>
      </c>
      <c r="C23" s="43" t="s">
        <v>7</v>
      </c>
      <c r="D23" s="65">
        <f>IF($D$8=1,Sat_1!D5,IF($D$8=2,Sat_2!D5,IF($D$8=3,Sat_3!D5)))</f>
        <v>86.40625</v>
      </c>
      <c r="E23" s="20" t="s">
        <v>37</v>
      </c>
      <c r="F23" s="44"/>
      <c r="G23" s="46"/>
    </row>
    <row r="24" spans="2:14" ht="16.5">
      <c r="B24" s="10" t="s">
        <v>23</v>
      </c>
      <c r="C24" s="43" t="s">
        <v>8</v>
      </c>
      <c r="D24" s="76">
        <f>IF($D$8=1,Sat_1!D7,IF($D$8=2,Sat_2!D7,IF($D$8=3,Sat_3!D7)))</f>
        <v>1.86264514923E-08</v>
      </c>
      <c r="E24" s="20" t="s">
        <v>34</v>
      </c>
      <c r="F24" s="44">
        <f>D24*rho</f>
        <v>1.067217057813944E-06</v>
      </c>
      <c r="G24" s="46" t="s">
        <v>73</v>
      </c>
      <c r="I24" s="7" t="s">
        <v>59</v>
      </c>
      <c r="J24" s="20" t="s">
        <v>61</v>
      </c>
      <c r="K24" s="90">
        <f>D13^2*(COS(K22)-D12)</f>
        <v>-13539436.958489196</v>
      </c>
      <c r="L24" s="159" t="s">
        <v>37</v>
      </c>
      <c r="M24" s="160"/>
      <c r="N24" s="161"/>
    </row>
    <row r="25" spans="2:14" ht="16.5">
      <c r="B25" s="10" t="s">
        <v>24</v>
      </c>
      <c r="C25" s="43" t="s">
        <v>8</v>
      </c>
      <c r="D25" s="75">
        <f>IF($D$8=1,Sat_1!F7,IF($D$8=2,Sat_2!F7,IF($D$8=3,Sat_3!F7)))</f>
        <v>1.65775418282E-07</v>
      </c>
      <c r="E25" s="20" t="s">
        <v>34</v>
      </c>
      <c r="F25" s="109">
        <f>D25*rho</f>
        <v>9.498231814574468E-06</v>
      </c>
      <c r="G25" s="46" t="s">
        <v>73</v>
      </c>
      <c r="I25" s="7" t="s">
        <v>60</v>
      </c>
      <c r="J25" s="20" t="s">
        <v>61</v>
      </c>
      <c r="K25" s="90">
        <f>D13^2*SQRT(1-D12^2)*SIN(K22)</f>
        <v>23019304.431005236</v>
      </c>
      <c r="L25" s="159" t="s">
        <v>37</v>
      </c>
      <c r="M25" s="160"/>
      <c r="N25" s="161"/>
    </row>
    <row r="26" spans="2:14" ht="12.75">
      <c r="B26" s="115" t="s">
        <v>18</v>
      </c>
      <c r="C26" s="117" t="s">
        <v>9</v>
      </c>
      <c r="D26" s="66">
        <f>IF($D$8=1,Sat_1!F3,IF($D$8=2,Sat_2!F3,IF($D$8=3,Sat_3!F3)))</f>
        <v>2</v>
      </c>
      <c r="E26" s="43" t="s">
        <v>74</v>
      </c>
      <c r="F26" s="9"/>
      <c r="G26" s="46"/>
      <c r="I26" s="8" t="s">
        <v>56</v>
      </c>
      <c r="J26" s="9" t="s">
        <v>39</v>
      </c>
      <c r="K26" s="9">
        <f>ATAN2(K24,K25)</f>
        <v>2.102477456807251</v>
      </c>
      <c r="L26" s="20" t="s">
        <v>34</v>
      </c>
      <c r="M26" s="89">
        <f>K26*rho</f>
        <v>120.46308479645432</v>
      </c>
      <c r="N26" s="9" t="s">
        <v>73</v>
      </c>
    </row>
    <row r="27" spans="2:8" ht="12.75">
      <c r="B27" s="115"/>
      <c r="C27" s="117"/>
      <c r="D27" s="66">
        <f>IF($D$8=1,Sat_1!G3,IF($D$8=2,Sat_2!G3,IF($D$8=3,Sat_3!G3)))</f>
        <v>0</v>
      </c>
      <c r="E27" s="43" t="s">
        <v>65</v>
      </c>
      <c r="F27" s="9"/>
      <c r="G27" s="46"/>
      <c r="H27" s="5"/>
    </row>
    <row r="28" spans="2:14" ht="22.5" customHeight="1" thickBot="1">
      <c r="B28" s="116"/>
      <c r="C28" s="118"/>
      <c r="D28" s="110">
        <f>IF($D$8=1,Sat_1!H3,IF($D$8=2,Sat_2!H3,IF($D$8=3,Sat_3!H3)))</f>
        <v>0</v>
      </c>
      <c r="E28" s="48" t="s">
        <v>76</v>
      </c>
      <c r="F28" s="15"/>
      <c r="G28" s="52"/>
      <c r="H28" s="53"/>
      <c r="I28" s="7" t="s">
        <v>41</v>
      </c>
      <c r="J28" s="137" t="s">
        <v>71</v>
      </c>
      <c r="K28" s="55">
        <f>K26+D16</f>
        <v>5.18921637756725</v>
      </c>
      <c r="L28" s="33" t="s">
        <v>34</v>
      </c>
      <c r="M28" s="54">
        <f>K28*rho</f>
        <v>297.3201974147689</v>
      </c>
      <c r="N28" s="23" t="s">
        <v>73</v>
      </c>
    </row>
    <row r="29" spans="8:14" ht="12.75">
      <c r="H29" s="53"/>
      <c r="I29" s="8" t="s">
        <v>42</v>
      </c>
      <c r="J29" s="138"/>
      <c r="K29" s="55">
        <f>D20*COS(2*K28)+D21*SIN(2*K28)</f>
        <v>-8.081864912404947E-06</v>
      </c>
      <c r="L29" s="33" t="s">
        <v>34</v>
      </c>
      <c r="M29" s="54">
        <f>K29*rho</f>
        <v>-0.00046305675007567024</v>
      </c>
      <c r="N29" s="23" t="s">
        <v>73</v>
      </c>
    </row>
    <row r="30" spans="8:14" ht="13.5" customHeight="1">
      <c r="H30" s="53"/>
      <c r="I30" s="7" t="s">
        <v>40</v>
      </c>
      <c r="J30" s="139"/>
      <c r="K30" s="55">
        <f>K28+K29</f>
        <v>5.189208295702338</v>
      </c>
      <c r="L30" s="33" t="s">
        <v>34</v>
      </c>
      <c r="M30" s="54">
        <f>K30*rho</f>
        <v>297.3197343580189</v>
      </c>
      <c r="N30" s="23" t="s">
        <v>73</v>
      </c>
    </row>
    <row r="31" spans="8:13" ht="17.25" customHeight="1">
      <c r="H31" s="53"/>
      <c r="M31" s="30"/>
    </row>
    <row r="32" spans="8:13" ht="15.75">
      <c r="H32" s="53"/>
      <c r="I32" s="7" t="s">
        <v>44</v>
      </c>
      <c r="J32" s="127" t="s">
        <v>43</v>
      </c>
      <c r="K32" s="26">
        <f>D13^2*(1-D12*COS(K20))</f>
        <v>26705893.163124148</v>
      </c>
      <c r="L32" s="33" t="s">
        <v>37</v>
      </c>
      <c r="M32" s="30"/>
    </row>
    <row r="33" spans="2:13" ht="15.75" customHeight="1">
      <c r="B33" s="5"/>
      <c r="C33" s="5"/>
      <c r="E33" s="28"/>
      <c r="H33" s="5"/>
      <c r="I33" s="8" t="s">
        <v>45</v>
      </c>
      <c r="J33" s="129"/>
      <c r="K33" s="26">
        <f>D22*COS(2*K28)+D23*SIN(2*K28)</f>
        <v>-225.1990163900433</v>
      </c>
      <c r="L33" s="33" t="s">
        <v>37</v>
      </c>
      <c r="M33" s="30"/>
    </row>
    <row r="34" spans="4:12" ht="12.75">
      <c r="D34" s="2"/>
      <c r="E34" s="28"/>
      <c r="H34" s="5"/>
      <c r="I34" s="7" t="s">
        <v>64</v>
      </c>
      <c r="J34" s="128"/>
      <c r="K34" s="26">
        <f>K32+K33</f>
        <v>26705667.96410776</v>
      </c>
      <c r="L34" s="33" t="s">
        <v>37</v>
      </c>
    </row>
    <row r="35" spans="8:13" ht="12.75">
      <c r="H35" s="5"/>
      <c r="M35" s="30"/>
    </row>
    <row r="36" spans="9:13" ht="15.75">
      <c r="I36" s="7" t="s">
        <v>62</v>
      </c>
      <c r="J36" s="20" t="s">
        <v>61</v>
      </c>
      <c r="K36" s="26">
        <f>K34*COS(K30)</f>
        <v>12256715.68448117</v>
      </c>
      <c r="L36" s="33" t="s">
        <v>37</v>
      </c>
      <c r="M36" s="30"/>
    </row>
    <row r="37" spans="9:14" ht="15.75">
      <c r="I37" s="7" t="s">
        <v>63</v>
      </c>
      <c r="J37" s="20" t="s">
        <v>61</v>
      </c>
      <c r="K37" s="26">
        <f>K34*SIN(K30)</f>
        <v>-23726896.595192652</v>
      </c>
      <c r="L37" s="33" t="s">
        <v>37</v>
      </c>
      <c r="M37" s="27"/>
      <c r="N37" s="27"/>
    </row>
    <row r="38" ht="12.75" customHeight="1"/>
    <row r="39" spans="9:14" ht="12.75">
      <c r="I39" s="8" t="s">
        <v>46</v>
      </c>
      <c r="J39" s="103" t="s">
        <v>87</v>
      </c>
      <c r="K39" s="84">
        <f>MOD((D14+(D17-D48)*M12-D48*(D26*60*60+D27*60+D28)),2*PI())</f>
        <v>3.7746947694911457</v>
      </c>
      <c r="L39" s="20" t="s">
        <v>34</v>
      </c>
      <c r="M39" s="9">
        <f>K39*rho</f>
        <v>216.27407924194978</v>
      </c>
      <c r="N39" s="9" t="s">
        <v>73</v>
      </c>
    </row>
    <row r="40" spans="11:14" ht="12.75">
      <c r="K40" s="5"/>
      <c r="L40" s="32"/>
      <c r="M40" s="27"/>
      <c r="N40" s="27"/>
    </row>
    <row r="41" spans="2:14" ht="15.75">
      <c r="B41" s="17"/>
      <c r="C41" s="6"/>
      <c r="D41" s="18"/>
      <c r="E41" s="19"/>
      <c r="I41" s="7" t="s">
        <v>16</v>
      </c>
      <c r="J41" s="127" t="s">
        <v>47</v>
      </c>
      <c r="K41" s="55">
        <f>D15</f>
        <v>0.991435709528</v>
      </c>
      <c r="L41" s="32" t="s">
        <v>34</v>
      </c>
      <c r="M41" s="54">
        <f>K41*rho</f>
        <v>56.80508181451262</v>
      </c>
      <c r="N41" s="23" t="s">
        <v>73</v>
      </c>
    </row>
    <row r="42" spans="9:14" ht="12.75">
      <c r="I42" s="8" t="s">
        <v>49</v>
      </c>
      <c r="J42" s="129"/>
      <c r="K42" s="55">
        <f>D24*COS(2*K28)+D25*SIN(2*K28)</f>
        <v>-1.4597506710550845E-07</v>
      </c>
      <c r="L42" s="33" t="s">
        <v>34</v>
      </c>
      <c r="M42" s="22">
        <f>K42*rho</f>
        <v>-8.363755259284608E-06</v>
      </c>
      <c r="N42" s="23" t="s">
        <v>73</v>
      </c>
    </row>
    <row r="43" spans="9:14" ht="12.75">
      <c r="I43" s="7" t="s">
        <v>48</v>
      </c>
      <c r="J43" s="128"/>
      <c r="K43" s="55">
        <f>K41+D19*M12+K42</f>
        <v>0.9914367168866881</v>
      </c>
      <c r="L43" s="33" t="s">
        <v>34</v>
      </c>
      <c r="M43" s="54">
        <f>K43*rho</f>
        <v>56.8051395319139</v>
      </c>
      <c r="N43" s="23" t="s">
        <v>73</v>
      </c>
    </row>
    <row r="44" ht="13.5" thickBot="1"/>
    <row r="45" spans="9:12" ht="12.75" thickBot="1">
      <c r="I45" s="147" t="s">
        <v>72</v>
      </c>
      <c r="J45" s="148"/>
      <c r="K45" s="148"/>
      <c r="L45" s="149"/>
    </row>
    <row r="46" spans="2:12" ht="18" thickBot="1" thickTop="1">
      <c r="B46" s="112" t="s">
        <v>55</v>
      </c>
      <c r="C46" s="113"/>
      <c r="D46" s="113"/>
      <c r="E46" s="113"/>
      <c r="F46" s="113"/>
      <c r="G46" s="114"/>
      <c r="I46" s="13" t="s">
        <v>68</v>
      </c>
      <c r="J46" s="16"/>
      <c r="K46" s="67">
        <f>K36*COS(K39)-K37*COS(K43)*SIN(K39)</f>
        <v>-17566945.077645708</v>
      </c>
      <c r="L46" s="68" t="s">
        <v>37</v>
      </c>
    </row>
    <row r="47" spans="2:12" ht="17.25" thickTop="1">
      <c r="B47" s="13" t="s">
        <v>51</v>
      </c>
      <c r="C47" s="16" t="s">
        <v>66</v>
      </c>
      <c r="D47" s="61">
        <f>3986005*10^8</f>
        <v>398600500000000</v>
      </c>
      <c r="E47" s="32" t="s">
        <v>53</v>
      </c>
      <c r="F47" s="37"/>
      <c r="G47" s="25"/>
      <c r="I47" s="10" t="s">
        <v>69</v>
      </c>
      <c r="J47" s="9"/>
      <c r="K47" s="69">
        <f>K36*SIN(K39)+K37*COS(K43)*COS(K39)</f>
        <v>3220975.995646842</v>
      </c>
      <c r="L47" s="70" t="s">
        <v>37</v>
      </c>
    </row>
    <row r="48" spans="2:12" ht="17.25" thickBot="1">
      <c r="B48" s="14" t="s">
        <v>52</v>
      </c>
      <c r="C48" s="15" t="s">
        <v>54</v>
      </c>
      <c r="D48" s="62">
        <f>7292115*10^(-11)</f>
        <v>7.292115E-05</v>
      </c>
      <c r="E48" s="35" t="s">
        <v>35</v>
      </c>
      <c r="F48" s="24">
        <f>D48*rho</f>
        <v>0.004178074132240403</v>
      </c>
      <c r="G48" s="36" t="s">
        <v>77</v>
      </c>
      <c r="I48" s="21" t="s">
        <v>70</v>
      </c>
      <c r="J48" s="15"/>
      <c r="K48" s="71">
        <f>K37*SIN(K43)</f>
        <v>-19854985.663143083</v>
      </c>
      <c r="L48" s="72" t="s">
        <v>37</v>
      </c>
    </row>
    <row r="64" ht="12.75">
      <c r="D64" s="3"/>
    </row>
    <row r="65" spans="3:8" ht="12.75">
      <c r="C65" s="1"/>
      <c r="D65" s="3"/>
      <c r="E65" s="5"/>
      <c r="F65" s="5"/>
      <c r="G65" s="5"/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88" ht="12.75">
      <c r="J88" s="38"/>
    </row>
    <row r="89" ht="12.75">
      <c r="J89" s="41"/>
    </row>
    <row r="90" ht="12.75">
      <c r="J90" s="39"/>
    </row>
    <row r="91" ht="12.75">
      <c r="J91" s="40"/>
    </row>
    <row r="93" ht="12.75">
      <c r="J93" s="38"/>
    </row>
    <row r="94" ht="12.75">
      <c r="J94" s="2"/>
    </row>
    <row r="95" ht="12.75">
      <c r="J95" s="2"/>
    </row>
    <row r="96" ht="12.75">
      <c r="J96" s="2"/>
    </row>
    <row r="104" ht="12.75">
      <c r="D104" s="4"/>
    </row>
  </sheetData>
  <sheetProtection/>
  <mergeCells count="30">
    <mergeCell ref="I4:I6"/>
    <mergeCell ref="J4:L6"/>
    <mergeCell ref="L24:N24"/>
    <mergeCell ref="L25:N25"/>
    <mergeCell ref="M10:N10"/>
    <mergeCell ref="M9:N9"/>
    <mergeCell ref="J8:N8"/>
    <mergeCell ref="J12:L12"/>
    <mergeCell ref="G10:G11"/>
    <mergeCell ref="F17:F18"/>
    <mergeCell ref="E17:E18"/>
    <mergeCell ref="B17:B18"/>
    <mergeCell ref="J41:J43"/>
    <mergeCell ref="I45:L45"/>
    <mergeCell ref="B10:B11"/>
    <mergeCell ref="C10:C11"/>
    <mergeCell ref="D10:D11"/>
    <mergeCell ref="F10:F11"/>
    <mergeCell ref="J32:J34"/>
    <mergeCell ref="B2:G3"/>
    <mergeCell ref="B5:G6"/>
    <mergeCell ref="J28:J30"/>
    <mergeCell ref="I16:I22"/>
    <mergeCell ref="J16:J22"/>
    <mergeCell ref="C17:C18"/>
    <mergeCell ref="B46:G46"/>
    <mergeCell ref="B26:B28"/>
    <mergeCell ref="C26:C28"/>
    <mergeCell ref="D17:D18"/>
    <mergeCell ref="G17:G18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6"/>
  <headerFooter alignWithMargins="0">
    <oddHeader>&amp;CBerechnung von Satellitenkoordinaten aus GPS - Ephemeriden&amp;R&amp;P/&amp;N</oddHeader>
  </headerFooter>
  <drawing r:id="rId5"/>
  <legacyDrawing r:id="rId4"/>
  <oleObjects>
    <oleObject progId="Equation.3" shapeId="64510" r:id="rId1"/>
    <oleObject progId="Equation.3" shapeId="101992" r:id="rId2"/>
    <oleObject progId="CorelDRAW.Graphic.10" shapeId="459491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1" sqref="B21"/>
    </sheetView>
  </sheetViews>
  <sheetFormatPr defaultColWidth="11.421875" defaultRowHeight="12.75"/>
  <cols>
    <col min="3" max="3" width="26.28125" style="0" customWidth="1"/>
    <col min="4" max="4" width="22.00390625" style="0" customWidth="1"/>
    <col min="5" max="5" width="19.7109375" style="0" customWidth="1"/>
    <col min="6" max="6" width="15.57421875" style="0" customWidth="1"/>
  </cols>
  <sheetData>
    <row r="1" spans="1:8" ht="12.75">
      <c r="A1" s="104"/>
      <c r="B1" s="104"/>
      <c r="C1" s="104"/>
      <c r="D1" s="104"/>
      <c r="E1" s="104"/>
      <c r="F1" s="104"/>
      <c r="G1" s="104"/>
      <c r="H1" s="104"/>
    </row>
    <row r="2" spans="1:8" ht="12.75">
      <c r="A2" s="104"/>
      <c r="B2" s="104"/>
      <c r="C2" s="104">
        <v>1</v>
      </c>
      <c r="D2" s="104">
        <v>2</v>
      </c>
      <c r="E2" s="104">
        <v>3</v>
      </c>
      <c r="F2" s="104">
        <v>4</v>
      </c>
      <c r="G2" s="104"/>
      <c r="H2" s="104"/>
    </row>
    <row r="3" spans="1:8" ht="12.75">
      <c r="A3" s="104"/>
      <c r="B3" s="104"/>
      <c r="C3" s="104">
        <v>10</v>
      </c>
      <c r="D3" s="104">
        <v>2</v>
      </c>
      <c r="E3" s="104">
        <v>2</v>
      </c>
      <c r="F3" s="104">
        <v>2</v>
      </c>
      <c r="G3" s="104">
        <v>0</v>
      </c>
      <c r="H3" s="104">
        <v>0</v>
      </c>
    </row>
    <row r="4" spans="1:8" ht="12.75">
      <c r="A4" s="104"/>
      <c r="B4" s="104">
        <v>8</v>
      </c>
      <c r="C4" s="104"/>
      <c r="D4" s="105">
        <v>2.81911343336E-06</v>
      </c>
      <c r="E4" s="105">
        <v>4.54747350886E-13</v>
      </c>
      <c r="F4" s="105">
        <v>0</v>
      </c>
      <c r="G4" s="104"/>
      <c r="H4" s="104"/>
    </row>
    <row r="5" spans="1:8" ht="12.75">
      <c r="A5" s="104">
        <v>1</v>
      </c>
      <c r="B5" s="104"/>
      <c r="C5" s="105">
        <v>115</v>
      </c>
      <c r="D5" s="105">
        <v>86.40625</v>
      </c>
      <c r="E5" s="105">
        <v>4.06088343781E-09</v>
      </c>
      <c r="F5" s="105">
        <v>1.48906666615</v>
      </c>
      <c r="G5" s="104"/>
      <c r="H5" s="104"/>
    </row>
    <row r="6" spans="1:8" ht="12.75">
      <c r="A6" s="104">
        <v>2</v>
      </c>
      <c r="B6" s="104"/>
      <c r="C6" s="105">
        <v>4.69945371151E-06</v>
      </c>
      <c r="D6" s="105">
        <v>0.0109486053698</v>
      </c>
      <c r="E6" s="105">
        <v>6.57513737679E-06</v>
      </c>
      <c r="F6" s="105">
        <v>5153.72089958</v>
      </c>
      <c r="G6" s="104"/>
      <c r="H6" s="104"/>
    </row>
    <row r="7" spans="1:8" ht="12.75">
      <c r="A7" s="104">
        <v>3</v>
      </c>
      <c r="B7" s="104"/>
      <c r="C7" s="105">
        <v>180000</v>
      </c>
      <c r="D7" s="105">
        <v>1.86264514923E-08</v>
      </c>
      <c r="E7" s="105">
        <v>-1.69903460064</v>
      </c>
      <c r="F7" s="105">
        <v>1.65775418282E-07</v>
      </c>
      <c r="G7" s="104"/>
      <c r="H7" s="104"/>
    </row>
    <row r="8" spans="1:8" ht="12.75">
      <c r="A8" s="104">
        <v>4</v>
      </c>
      <c r="B8" s="104"/>
      <c r="C8" s="105">
        <v>0.991435709528</v>
      </c>
      <c r="D8" s="105">
        <v>267.375</v>
      </c>
      <c r="E8" s="105">
        <v>3.08673892076</v>
      </c>
      <c r="F8" s="105">
        <v>-7.99283293357E-09</v>
      </c>
      <c r="G8" s="104"/>
      <c r="H8" s="104"/>
    </row>
    <row r="9" spans="1:8" ht="12.75">
      <c r="A9" s="104">
        <v>5</v>
      </c>
      <c r="B9" s="104"/>
      <c r="C9" s="105">
        <v>2.95726603914E-10</v>
      </c>
      <c r="D9" s="105">
        <v>0</v>
      </c>
      <c r="E9" s="105">
        <v>1569</v>
      </c>
      <c r="F9" s="105">
        <v>0</v>
      </c>
      <c r="G9" s="104"/>
      <c r="H9" s="104"/>
    </row>
    <row r="10" spans="1:8" ht="12.75">
      <c r="A10" s="104">
        <v>6</v>
      </c>
      <c r="B10" s="104"/>
      <c r="C10" s="105">
        <v>2</v>
      </c>
      <c r="D10" s="105">
        <v>0</v>
      </c>
      <c r="E10" s="105">
        <v>-4.19095158577E-09</v>
      </c>
      <c r="F10" s="105">
        <v>115</v>
      </c>
      <c r="G10" s="104"/>
      <c r="H10" s="104"/>
    </row>
    <row r="11" spans="1:8" ht="12.75">
      <c r="A11" s="104">
        <v>7</v>
      </c>
      <c r="B11" s="104"/>
      <c r="C11" s="105">
        <v>0</v>
      </c>
      <c r="D11" s="104"/>
      <c r="E11" s="104"/>
      <c r="F11" s="104"/>
      <c r="G11" s="104"/>
      <c r="H11" s="104"/>
    </row>
    <row r="12" spans="1:8" ht="12.75">
      <c r="A12" s="104"/>
      <c r="B12" s="104"/>
      <c r="C12" s="104"/>
      <c r="D12" s="104"/>
      <c r="E12" s="104"/>
      <c r="F12" s="104"/>
      <c r="G12" s="104"/>
      <c r="H12" s="104"/>
    </row>
  </sheetData>
  <sheetProtection password="DC67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D10" sqref="D10"/>
    </sheetView>
  </sheetViews>
  <sheetFormatPr defaultColWidth="11.421875" defaultRowHeight="12.75"/>
  <cols>
    <col min="3" max="3" width="23.7109375" style="0" customWidth="1"/>
    <col min="4" max="4" width="14.28125" style="0" customWidth="1"/>
    <col min="5" max="5" width="15.140625" style="0" customWidth="1"/>
    <col min="6" max="6" width="17.421875" style="0" customWidth="1"/>
  </cols>
  <sheetData>
    <row r="2" spans="2:8" ht="12.75">
      <c r="B2" s="104"/>
      <c r="C2" s="104"/>
      <c r="D2" s="104"/>
      <c r="E2" s="104"/>
      <c r="F2" s="104"/>
      <c r="G2" s="104"/>
      <c r="H2" s="104"/>
    </row>
    <row r="3" spans="2:8" ht="12.75">
      <c r="B3" s="104"/>
      <c r="C3" s="104">
        <v>10</v>
      </c>
      <c r="D3" s="104">
        <v>2</v>
      </c>
      <c r="E3" s="104">
        <v>2</v>
      </c>
      <c r="F3" s="104">
        <v>2</v>
      </c>
      <c r="G3" s="104">
        <v>0</v>
      </c>
      <c r="H3" s="104">
        <v>0</v>
      </c>
    </row>
    <row r="4" spans="2:8" ht="12.75">
      <c r="B4" s="104">
        <v>18</v>
      </c>
      <c r="C4" s="104" t="s">
        <v>79</v>
      </c>
      <c r="D4" s="105">
        <v>4.60664741695E-05</v>
      </c>
      <c r="E4" s="105">
        <v>2.6147972676E-12</v>
      </c>
      <c r="F4" s="105">
        <v>0</v>
      </c>
      <c r="G4" s="104"/>
      <c r="H4" s="104"/>
    </row>
    <row r="5" spans="2:8" ht="12.75">
      <c r="B5" s="104"/>
      <c r="C5" s="105">
        <v>91</v>
      </c>
      <c r="D5" s="105">
        <v>29.78125</v>
      </c>
      <c r="E5" s="105">
        <v>5.6295202064E-09</v>
      </c>
      <c r="F5" s="105">
        <v>0.0401212261358</v>
      </c>
      <c r="G5" s="104"/>
      <c r="H5" s="104"/>
    </row>
    <row r="6" spans="2:8" ht="12.75">
      <c r="B6" s="104"/>
      <c r="C6" s="105">
        <v>-1.52178108692E-06</v>
      </c>
      <c r="D6" s="105">
        <v>0.0109336284222</v>
      </c>
      <c r="E6" s="105">
        <v>4.10526990891E-06</v>
      </c>
      <c r="F6" s="105">
        <v>5153.6583271</v>
      </c>
      <c r="G6" s="104"/>
      <c r="H6" s="104"/>
    </row>
    <row r="7" spans="2:8" ht="12.75">
      <c r="B7" s="104"/>
      <c r="C7" s="105">
        <v>180000</v>
      </c>
      <c r="D7" s="105">
        <v>2.23517417908E-08</v>
      </c>
      <c r="E7" s="105">
        <v>2.44742935134</v>
      </c>
      <c r="F7" s="105">
        <v>1.84401869774E-07</v>
      </c>
      <c r="G7" s="104"/>
      <c r="H7" s="104"/>
    </row>
    <row r="8" spans="2:8" ht="12.75">
      <c r="B8" s="104"/>
      <c r="C8" s="105">
        <v>0.938702474989</v>
      </c>
      <c r="D8" s="105">
        <v>290.21875</v>
      </c>
      <c r="E8" s="105">
        <v>-2.3535398337</v>
      </c>
      <c r="F8" s="105">
        <v>-8.98037406863E-09</v>
      </c>
      <c r="G8" s="104"/>
      <c r="H8" s="104"/>
    </row>
    <row r="9" spans="2:8" ht="12.75">
      <c r="B9" s="104"/>
      <c r="C9" s="105">
        <v>-3.00012496725E-10</v>
      </c>
      <c r="D9" s="105">
        <v>1</v>
      </c>
      <c r="E9" s="105">
        <v>1569</v>
      </c>
      <c r="F9" s="105">
        <v>0</v>
      </c>
      <c r="G9" s="104"/>
      <c r="H9" s="104"/>
    </row>
    <row r="10" spans="2:8" ht="12.75">
      <c r="B10" s="104"/>
      <c r="C10" s="105">
        <v>2</v>
      </c>
      <c r="D10" s="105">
        <v>0</v>
      </c>
      <c r="E10" s="105">
        <v>-1.07102096081E-08</v>
      </c>
      <c r="F10" s="105">
        <v>91</v>
      </c>
      <c r="G10" s="104"/>
      <c r="H10" s="104"/>
    </row>
    <row r="11" spans="2:8" ht="12.75">
      <c r="B11" s="104"/>
      <c r="C11" s="105">
        <v>0</v>
      </c>
      <c r="D11" s="104" t="s">
        <v>78</v>
      </c>
      <c r="E11" s="104"/>
      <c r="F11" s="104"/>
      <c r="G11" s="104"/>
      <c r="H11" s="104"/>
    </row>
    <row r="12" spans="2:8" ht="12.75">
      <c r="B12" s="104"/>
      <c r="C12" s="104"/>
      <c r="D12" s="104"/>
      <c r="E12" s="104"/>
      <c r="F12" s="104"/>
      <c r="G12" s="104"/>
      <c r="H12" s="104"/>
    </row>
  </sheetData>
  <sheetProtection password="DC67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E21" sqref="E21"/>
    </sheetView>
  </sheetViews>
  <sheetFormatPr defaultColWidth="11.421875" defaultRowHeight="12.75"/>
  <cols>
    <col min="3" max="3" width="22.28125" style="0" customWidth="1"/>
    <col min="4" max="4" width="22.7109375" style="0" customWidth="1"/>
    <col min="5" max="5" width="22.8515625" style="0" customWidth="1"/>
    <col min="6" max="6" width="17.140625" style="0" customWidth="1"/>
  </cols>
  <sheetData>
    <row r="1" spans="2:8" ht="12.75">
      <c r="B1" s="104"/>
      <c r="C1" s="104"/>
      <c r="D1" s="104"/>
      <c r="E1" s="104"/>
      <c r="F1" s="104"/>
      <c r="G1" s="104"/>
      <c r="H1" s="104"/>
    </row>
    <row r="2" spans="2:8" ht="12.75">
      <c r="B2" s="104"/>
      <c r="C2" s="104"/>
      <c r="D2" s="104"/>
      <c r="E2" s="104"/>
      <c r="F2" s="104"/>
      <c r="G2" s="104"/>
      <c r="H2" s="104"/>
    </row>
    <row r="3" spans="2:8" ht="12.75">
      <c r="B3" s="104"/>
      <c r="C3" s="104">
        <v>10</v>
      </c>
      <c r="D3" s="104">
        <v>2</v>
      </c>
      <c r="E3" s="104">
        <v>2</v>
      </c>
      <c r="F3" s="104">
        <v>4</v>
      </c>
      <c r="G3" s="104">
        <v>0</v>
      </c>
      <c r="H3" s="104">
        <v>0</v>
      </c>
    </row>
    <row r="4" spans="2:8" ht="12.75">
      <c r="B4" s="104">
        <v>4</v>
      </c>
      <c r="C4" s="104" t="s">
        <v>80</v>
      </c>
      <c r="D4" s="105">
        <v>4.99002635479E-06</v>
      </c>
      <c r="E4" s="105">
        <v>9.20863385545E-12</v>
      </c>
      <c r="F4" s="105">
        <v>0</v>
      </c>
      <c r="G4" s="104"/>
      <c r="H4" s="104"/>
    </row>
    <row r="5" spans="2:8" ht="12.75">
      <c r="B5" s="104"/>
      <c r="C5" s="105">
        <v>32</v>
      </c>
      <c r="D5" s="105">
        <v>82</v>
      </c>
      <c r="E5" s="105">
        <v>5.12449917025E-09</v>
      </c>
      <c r="F5" s="105">
        <v>1.51965076653</v>
      </c>
      <c r="G5" s="104"/>
      <c r="H5" s="104"/>
    </row>
    <row r="6" spans="2:8" ht="12.75">
      <c r="B6" s="104"/>
      <c r="C6" s="105">
        <v>4.37721610069E-06</v>
      </c>
      <c r="D6" s="105">
        <v>0.00913708808366</v>
      </c>
      <c r="E6" s="105">
        <v>8.44337046146E-06</v>
      </c>
      <c r="F6" s="105">
        <v>5153.62631226</v>
      </c>
      <c r="G6" s="104"/>
      <c r="H6" s="104"/>
    </row>
    <row r="7" spans="2:8" ht="12.75">
      <c r="B7" s="104"/>
      <c r="C7" s="105">
        <v>187200</v>
      </c>
      <c r="D7" s="105">
        <v>-1.47148966789E-07</v>
      </c>
      <c r="E7" s="105">
        <v>1.3779777845</v>
      </c>
      <c r="F7" s="105">
        <v>6.89178705215E-08</v>
      </c>
      <c r="G7" s="104"/>
      <c r="H7" s="104"/>
    </row>
    <row r="8" spans="2:8" ht="12.75">
      <c r="B8" s="104"/>
      <c r="C8" s="105">
        <v>0.939081816961</v>
      </c>
      <c r="D8" s="105">
        <v>209.09375</v>
      </c>
      <c r="E8" s="105">
        <v>0.591840219881</v>
      </c>
      <c r="F8" s="105">
        <v>-8.47928176755E-09</v>
      </c>
      <c r="G8" s="104"/>
      <c r="H8" s="104"/>
    </row>
    <row r="9" spans="2:8" ht="12.75">
      <c r="B9" s="104"/>
      <c r="C9" s="105">
        <v>3.66443835285E-10</v>
      </c>
      <c r="D9" s="105">
        <v>1</v>
      </c>
      <c r="E9" s="105">
        <v>1569</v>
      </c>
      <c r="F9" s="105">
        <v>0</v>
      </c>
      <c r="G9" s="104"/>
      <c r="H9" s="104"/>
    </row>
    <row r="10" spans="2:8" ht="12.75">
      <c r="B10" s="104"/>
      <c r="C10" s="105">
        <v>2</v>
      </c>
      <c r="D10" s="105">
        <v>0</v>
      </c>
      <c r="E10" s="105">
        <v>-6.053596735E-09</v>
      </c>
      <c r="F10" s="105">
        <v>32</v>
      </c>
      <c r="G10" s="104"/>
      <c r="H10" s="104"/>
    </row>
    <row r="11" spans="2:8" ht="12.75">
      <c r="B11" s="104"/>
      <c r="C11" s="105">
        <v>0</v>
      </c>
      <c r="D11" s="104"/>
      <c r="E11" s="104"/>
      <c r="F11" s="104"/>
      <c r="G11" s="104"/>
      <c r="H11" s="104"/>
    </row>
    <row r="12" spans="2:8" ht="12.75">
      <c r="B12" s="104"/>
      <c r="C12" s="104"/>
      <c r="D12" s="104"/>
      <c r="E12" s="104"/>
      <c r="F12" s="104"/>
      <c r="G12" s="104"/>
      <c r="H12" s="104"/>
    </row>
    <row r="13" spans="2:8" ht="12.75">
      <c r="B13" s="104"/>
      <c r="C13" s="104"/>
      <c r="D13" s="104"/>
      <c r="E13" s="104"/>
      <c r="F13" s="104"/>
      <c r="G13" s="104"/>
      <c r="H13" s="104"/>
    </row>
    <row r="14" spans="2:8" ht="12.75">
      <c r="B14" s="104"/>
      <c r="C14" s="104"/>
      <c r="D14" s="104"/>
      <c r="E14" s="104"/>
      <c r="F14" s="104"/>
      <c r="G14" s="104"/>
      <c r="H14" s="104"/>
    </row>
    <row r="15" spans="2:8" ht="12.75">
      <c r="B15" s="104"/>
      <c r="C15" s="104"/>
      <c r="D15" s="104"/>
      <c r="E15" s="104"/>
      <c r="F15" s="104"/>
      <c r="G15" s="104"/>
      <c r="H15" s="104"/>
    </row>
    <row r="16" spans="2:8" ht="12.75">
      <c r="B16" s="104"/>
      <c r="C16" s="104"/>
      <c r="D16" s="104"/>
      <c r="E16" s="104"/>
      <c r="F16" s="104"/>
      <c r="G16" s="104"/>
      <c r="H16" s="104"/>
    </row>
    <row r="17" spans="2:8" ht="12.75">
      <c r="B17" s="104"/>
      <c r="C17" s="104"/>
      <c r="D17" s="104"/>
      <c r="E17" s="104"/>
      <c r="F17" s="104"/>
      <c r="G17" s="104"/>
      <c r="H17" s="104"/>
    </row>
  </sheetData>
  <sheetProtection password="DC67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2010-03-29T08:27:22Z</cp:lastPrinted>
  <dcterms:created xsi:type="dcterms:W3CDTF">2005-02-07T14:29:58Z</dcterms:created>
  <dcterms:modified xsi:type="dcterms:W3CDTF">2011-07-15T10:14:50Z</dcterms:modified>
  <cp:category/>
  <cp:version/>
  <cp:contentType/>
  <cp:contentStatus/>
</cp:coreProperties>
</file>