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573" windowWidth="14720" windowHeight="8707" activeTab="0"/>
  </bookViews>
  <sheets>
    <sheet name="UTM(ETRS) =&gt;GK(DHDN)" sheetId="1" r:id="rId1"/>
    <sheet name="UP UTM=&gt;ellip " sheetId="2" r:id="rId2"/>
    <sheet name="UP Dat-Trans " sheetId="3" r:id="rId3"/>
    <sheet name="UP ellip =&gt;GK" sheetId="4" r:id="rId4"/>
  </sheets>
  <definedNames>
    <definedName name="rho">'UP ellip =&gt;GK'!$G$1</definedName>
  </definedNames>
  <calcPr fullCalcOnLoad="1"/>
</workbook>
</file>

<file path=xl/sharedStrings.xml><?xml version="1.0" encoding="utf-8"?>
<sst xmlns="http://schemas.openxmlformats.org/spreadsheetml/2006/main" count="234" uniqueCount="122">
  <si>
    <t>Große Halbachse a</t>
  </si>
  <si>
    <t>m</t>
  </si>
  <si>
    <t>Kleine Halbachse b</t>
  </si>
  <si>
    <t>Bezugsmeridian</t>
  </si>
  <si>
    <t>Dl</t>
  </si>
  <si>
    <t>Abgeleitete Konstanten</t>
  </si>
  <si>
    <r>
      <t>{3}</t>
    </r>
    <r>
      <rPr>
        <vertAlign val="subscript"/>
        <sz val="10"/>
        <rFont val="Arial"/>
        <family val="2"/>
      </rPr>
      <t>y</t>
    </r>
  </si>
  <si>
    <r>
      <t>{5}</t>
    </r>
    <r>
      <rPr>
        <vertAlign val="subscript"/>
        <sz val="10"/>
        <rFont val="Arial"/>
        <family val="2"/>
      </rPr>
      <t>y</t>
    </r>
  </si>
  <si>
    <r>
      <t>E</t>
    </r>
    <r>
      <rPr>
        <vertAlign val="subscript"/>
        <sz val="10"/>
        <rFont val="Arial"/>
        <family val="2"/>
      </rPr>
      <t>0</t>
    </r>
  </si>
  <si>
    <r>
      <t>E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</si>
  <si>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4</t>
    </r>
  </si>
  <si>
    <r>
      <t>E</t>
    </r>
    <r>
      <rPr>
        <vertAlign val="subscript"/>
        <sz val="10"/>
        <rFont val="Arial"/>
        <family val="2"/>
      </rPr>
      <t>6</t>
    </r>
  </si>
  <si>
    <t>grad</t>
  </si>
  <si>
    <t>sek</t>
  </si>
  <si>
    <t>j</t>
  </si>
  <si>
    <t>l</t>
  </si>
  <si>
    <t>Breitenabhängige Parameter</t>
  </si>
  <si>
    <r>
      <t>{1}</t>
    </r>
    <r>
      <rPr>
        <vertAlign val="subscript"/>
        <sz val="10"/>
        <rFont val="Arial"/>
        <family val="2"/>
      </rPr>
      <t>Y</t>
    </r>
  </si>
  <si>
    <r>
      <t>{0}</t>
    </r>
    <r>
      <rPr>
        <vertAlign val="subscript"/>
        <sz val="10"/>
        <rFont val="Arial"/>
        <family val="2"/>
      </rPr>
      <t>X</t>
    </r>
  </si>
  <si>
    <r>
      <t>{2}</t>
    </r>
    <r>
      <rPr>
        <vertAlign val="subscript"/>
        <sz val="10"/>
        <rFont val="Arial"/>
        <family val="2"/>
      </rPr>
      <t>X</t>
    </r>
  </si>
  <si>
    <r>
      <t>{4}</t>
    </r>
    <r>
      <rPr>
        <vertAlign val="subscript"/>
        <sz val="10"/>
        <rFont val="Arial"/>
        <family val="2"/>
      </rPr>
      <t>X</t>
    </r>
  </si>
  <si>
    <r>
      <t>{6}</t>
    </r>
    <r>
      <rPr>
        <vertAlign val="subscript"/>
        <sz val="10"/>
        <rFont val="Arial"/>
        <family val="2"/>
      </rPr>
      <t>X</t>
    </r>
  </si>
  <si>
    <r>
      <t>Quadrat der 1. Numerischen Exzentrizität     e</t>
    </r>
    <r>
      <rPr>
        <vertAlign val="superscript"/>
        <sz val="10"/>
        <rFont val="Arial"/>
        <family val="2"/>
      </rPr>
      <t>2</t>
    </r>
  </si>
  <si>
    <r>
      <t>Quadrat der 2. Numerische Exzenrizität       e´</t>
    </r>
    <r>
      <rPr>
        <vertAlign val="superscript"/>
        <sz val="10"/>
        <rFont val="Arial"/>
        <family val="2"/>
      </rPr>
      <t>2</t>
    </r>
  </si>
  <si>
    <t>Polkrümmungshalbmesser                          c</t>
  </si>
  <si>
    <t>Koeffizienten zur Berechnung der Meridianbogenlänge</t>
  </si>
  <si>
    <t>Querkümmungshalbmesser     N</t>
  </si>
  <si>
    <t>Meridianbogenlänge                G</t>
  </si>
  <si>
    <t>Summe der Koordinatenanteile (Ost)</t>
  </si>
  <si>
    <t>Summe der Koordinatenanteile (Nord)</t>
  </si>
  <si>
    <t>UTM - Koordinaten</t>
  </si>
  <si>
    <r>
      <t xml:space="preserve">                                                     h </t>
    </r>
    <r>
      <rPr>
        <vertAlign val="superscript"/>
        <sz val="10"/>
        <rFont val="Arial"/>
        <family val="2"/>
      </rPr>
      <t xml:space="preserve">2      </t>
    </r>
  </si>
  <si>
    <t>Koeffizienten zur Berechnung der Geographischen Breite aus Meridianbogenlänge</t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</si>
  <si>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</si>
  <si>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</si>
  <si>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6</t>
    </r>
  </si>
  <si>
    <t>Y</t>
  </si>
  <si>
    <t>Koeffizienten der Reihenentwicklung (Breite)</t>
  </si>
  <si>
    <r>
      <t>{2}</t>
    </r>
    <r>
      <rPr>
        <vertAlign val="subscript"/>
        <sz val="10"/>
        <rFont val="Arial"/>
        <family val="2"/>
      </rPr>
      <t>B</t>
    </r>
  </si>
  <si>
    <r>
      <t>{4}</t>
    </r>
    <r>
      <rPr>
        <vertAlign val="subscript"/>
        <sz val="10"/>
        <rFont val="Arial"/>
        <family val="2"/>
      </rPr>
      <t>B</t>
    </r>
  </si>
  <si>
    <r>
      <t>{6}</t>
    </r>
    <r>
      <rPr>
        <vertAlign val="subscript"/>
        <sz val="10"/>
        <rFont val="Arial"/>
        <family val="2"/>
      </rPr>
      <t>B</t>
    </r>
  </si>
  <si>
    <t>Koeffizienten der Reihenentwicklung (Länge)</t>
  </si>
  <si>
    <r>
      <t>[1]</t>
    </r>
    <r>
      <rPr>
        <vertAlign val="subscript"/>
        <sz val="10"/>
        <rFont val="Arial"/>
        <family val="2"/>
      </rPr>
      <t>L</t>
    </r>
  </si>
  <si>
    <r>
      <t>[3]</t>
    </r>
    <r>
      <rPr>
        <vertAlign val="subscript"/>
        <sz val="10"/>
        <rFont val="Arial"/>
        <family val="2"/>
      </rPr>
      <t>L</t>
    </r>
  </si>
  <si>
    <r>
      <t>[5</t>
    </r>
    <r>
      <rPr>
        <vertAlign val="subscript"/>
        <sz val="10"/>
        <rFont val="Arial"/>
        <family val="2"/>
      </rPr>
      <t>]L</t>
    </r>
  </si>
  <si>
    <t>Y [km]</t>
  </si>
  <si>
    <t>geographische Breite zur Meridianbogenlänge (1. Näherung)</t>
  </si>
  <si>
    <t xml:space="preserve">geographische Breite zur Meridianbogenlänge </t>
  </si>
  <si>
    <t>Querkümmungshalbmesser     N [100 km]</t>
  </si>
  <si>
    <t>Breitenanteile</t>
  </si>
  <si>
    <t>Dj</t>
  </si>
  <si>
    <t>Längenanteile</t>
  </si>
  <si>
    <t>Grad</t>
  </si>
  <si>
    <t>Minuten</t>
  </si>
  <si>
    <t>Sekunden</t>
  </si>
  <si>
    <t>rad</t>
  </si>
  <si>
    <t>Höhe</t>
  </si>
  <si>
    <t>Länge</t>
  </si>
  <si>
    <t>Breite</t>
  </si>
  <si>
    <t>Querkrümmungshalbmessser</t>
  </si>
  <si>
    <t>p</t>
  </si>
  <si>
    <t>teta</t>
  </si>
  <si>
    <t>Translation</t>
  </si>
  <si>
    <t>Rotation</t>
  </si>
  <si>
    <t>Maßstab</t>
  </si>
  <si>
    <r>
      <t>W</t>
    </r>
    <r>
      <rPr>
        <vertAlign val="subscript"/>
        <sz val="10"/>
        <rFont val="Arial"/>
        <family val="2"/>
      </rPr>
      <t>X</t>
    </r>
  </si>
  <si>
    <r>
      <t>W</t>
    </r>
    <r>
      <rPr>
        <vertAlign val="subscript"/>
        <sz val="10"/>
        <rFont val="Arial"/>
        <family val="2"/>
      </rPr>
      <t>Y</t>
    </r>
  </si>
  <si>
    <r>
      <t>W</t>
    </r>
    <r>
      <rPr>
        <vertAlign val="subscript"/>
        <sz val="10"/>
        <rFont val="Arial"/>
        <family val="2"/>
      </rPr>
      <t>Z</t>
    </r>
  </si>
  <si>
    <r>
      <t>D</t>
    </r>
    <r>
      <rPr>
        <sz val="10"/>
        <rFont val="Arial"/>
        <family val="0"/>
      </rPr>
      <t>X</t>
    </r>
  </si>
  <si>
    <r>
      <t>D</t>
    </r>
    <r>
      <rPr>
        <sz val="10"/>
        <rFont val="Arial"/>
        <family val="2"/>
      </rPr>
      <t>Y</t>
    </r>
  </si>
  <si>
    <r>
      <t>D</t>
    </r>
    <r>
      <rPr>
        <sz val="10"/>
        <rFont val="Arial"/>
        <family val="2"/>
      </rPr>
      <t>Z</t>
    </r>
  </si>
  <si>
    <t xml:space="preserve"> (Funktion der Breite)</t>
  </si>
  <si>
    <t xml:space="preserve">Ellipsoidische Koordinaten </t>
  </si>
  <si>
    <t>ellipsoidische Koordinaten</t>
  </si>
  <si>
    <r>
      <t>D</t>
    </r>
    <r>
      <rPr>
        <sz val="11"/>
        <rFont val="Arial"/>
        <family val="0"/>
      </rPr>
      <t>X</t>
    </r>
  </si>
  <si>
    <r>
      <t>D</t>
    </r>
    <r>
      <rPr>
        <sz val="11"/>
        <rFont val="Arial"/>
        <family val="2"/>
      </rPr>
      <t>Y</t>
    </r>
  </si>
  <si>
    <r>
      <t>D</t>
    </r>
    <r>
      <rPr>
        <sz val="11"/>
        <rFont val="Arial"/>
        <family val="2"/>
      </rPr>
      <t>Z</t>
    </r>
  </si>
  <si>
    <r>
      <t>W</t>
    </r>
    <r>
      <rPr>
        <vertAlign val="subscript"/>
        <sz val="11"/>
        <rFont val="Arial"/>
        <family val="2"/>
      </rPr>
      <t>X</t>
    </r>
  </si>
  <si>
    <r>
      <t>W</t>
    </r>
    <r>
      <rPr>
        <vertAlign val="subscript"/>
        <sz val="11"/>
        <rFont val="Arial"/>
        <family val="2"/>
      </rPr>
      <t>Y</t>
    </r>
  </si>
  <si>
    <r>
      <t>W</t>
    </r>
    <r>
      <rPr>
        <vertAlign val="subscript"/>
        <sz val="11"/>
        <rFont val="Arial"/>
        <family val="2"/>
      </rPr>
      <t>Z</t>
    </r>
  </si>
  <si>
    <t>Min</t>
  </si>
  <si>
    <t>Sek</t>
  </si>
  <si>
    <t>Meter</t>
  </si>
  <si>
    <t>X</t>
  </si>
  <si>
    <t>Z</t>
  </si>
  <si>
    <t>s</t>
  </si>
  <si>
    <t>Ost</t>
  </si>
  <si>
    <t>Nord</t>
  </si>
  <si>
    <t>UTM - Zone</t>
  </si>
  <si>
    <t>Ellipsoidparameter (GRS 80)</t>
  </si>
  <si>
    <t>Maßstabsfaktor am Hauptmeridian</t>
  </si>
  <si>
    <t>ellipsoidische ETRS Koordinaten</t>
  </si>
  <si>
    <t>kartesische ETRS Koordinaten</t>
  </si>
  <si>
    <t>Ellipsoidparameter (Bessel Ellipsoid)</t>
  </si>
  <si>
    <t>GK Bezugsmeridian</t>
  </si>
  <si>
    <t>GK - Koordinaten</t>
  </si>
  <si>
    <t>Rechts</t>
  </si>
  <si>
    <t>Hoch</t>
  </si>
  <si>
    <t>Bessel Ellipsoidparameter</t>
  </si>
  <si>
    <t>Koeffizienten der Reihenentwicklung (Rechts)</t>
  </si>
  <si>
    <t>Koordinatenanteile (Rechts)</t>
  </si>
  <si>
    <t>Koeffizienten der Reihenentwicklung (Hoch)</t>
  </si>
  <si>
    <t>Koordinatenanteile (Hoch)</t>
  </si>
  <si>
    <t>Transformationsparameter                                 (von ETRS nach DHDN)</t>
  </si>
  <si>
    <t>DHDN</t>
  </si>
  <si>
    <t>kartesische CT  Koordinaten</t>
  </si>
  <si>
    <t xml:space="preserve">ETRS  </t>
  </si>
  <si>
    <t>kartesische CT Koordinaten</t>
  </si>
  <si>
    <t>UTM - Koordinaten (ETRS )</t>
  </si>
  <si>
    <t xml:space="preserve">Ellipsoidische Koordinaten  (ETRS </t>
  </si>
  <si>
    <t>Transformationsparameter (von ETRS nach DHDN)</t>
  </si>
  <si>
    <t>kartesische DHDN Koordinaten</t>
  </si>
  <si>
    <t>ellipsoidische DHDN Koordinaten</t>
  </si>
  <si>
    <t>Ellipsoidische DHDN Koordinaten</t>
  </si>
  <si>
    <t>GK - Koordinaten (DHDN)</t>
  </si>
  <si>
    <t>Umrechnung von UTM (ETRS89) Koordinaten in GK (DHDN) - Koordinaten.</t>
  </si>
  <si>
    <t>(Datumstransformation)</t>
  </si>
  <si>
    <r>
      <t xml:space="preserve">In den </t>
    </r>
    <r>
      <rPr>
        <b/>
        <sz val="12"/>
        <color indexed="13"/>
        <rFont val="Arial"/>
        <family val="2"/>
      </rPr>
      <t>gelb hinterlegten Zellen</t>
    </r>
    <r>
      <rPr>
        <b/>
        <sz val="12"/>
        <color indexed="9"/>
        <rFont val="Arial"/>
        <family val="2"/>
      </rPr>
      <t xml:space="preserve"> können die Parameter geändert werden.                                                                                                              Die Ergebnisse sind in den </t>
    </r>
    <r>
      <rPr>
        <b/>
        <sz val="12"/>
        <color indexed="11"/>
        <rFont val="Arial"/>
        <family val="2"/>
      </rPr>
      <t>grün hinterlegten Zellen</t>
    </r>
    <r>
      <rPr>
        <b/>
        <sz val="12"/>
        <color indexed="9"/>
        <rFont val="Arial"/>
        <family val="2"/>
      </rPr>
      <t xml:space="preserve"> dokumentiert.              </t>
    </r>
  </si>
  <si>
    <t>ppm</t>
  </si>
  <si>
    <r>
      <t>Hinweis</t>
    </r>
    <r>
      <rPr>
        <sz val="10"/>
        <rFont val="Arial"/>
        <family val="2"/>
      </rPr>
      <t xml:space="preserve">: Die </t>
    </r>
    <r>
      <rPr>
        <i/>
        <sz val="10"/>
        <rFont val="Arial"/>
        <family val="2"/>
      </rPr>
      <t>Rotationsparameter</t>
    </r>
    <r>
      <rPr>
        <sz val="10"/>
        <rFont val="Arial"/>
        <family val="2"/>
      </rPr>
      <t xml:space="preserve"> haben bei den Transformationparametern der o.g. Quelle entgegengesetzte Vorzeichen. In dieser EXCEL-Tabelle werden die Vorzeichen in Übereinstimmung mit RTCM 1043.1 Amendment 1 Seite 3-71-E verwendet.</t>
    </r>
  </si>
  <si>
    <t>http://www.crs-geo:EU &gt; CRS Description &gt; national CRS</t>
  </si>
  <si>
    <t>Transformationsparamter findet man bei: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</si>
</sst>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"/>
    <numFmt numFmtId="165" formatCode="#,##0.0"/>
    <numFmt numFmtId="166" formatCode="#,##0.000"/>
    <numFmt numFmtId="167" formatCode="0.00000000"/>
    <numFmt numFmtId="168" formatCode="0.000000000"/>
    <numFmt numFmtId="169" formatCode="0.0000000"/>
    <numFmt numFmtId="170" formatCode="0.0000000000"/>
    <numFmt numFmtId="171" formatCode="0.000"/>
    <numFmt numFmtId="172" formatCode="0.0000"/>
    <numFmt numFmtId="173" formatCode="#,##0.0000"/>
    <numFmt numFmtId="174" formatCode="0.000000"/>
    <numFmt numFmtId="175" formatCode="0.00000"/>
    <numFmt numFmtId="176" formatCode="#,##0.00000000"/>
    <numFmt numFmtId="177" formatCode="##,\ ###,\ ###,###"/>
    <numFmt numFmtId="178" formatCode="##\ \ ###\ \ ###\ ###.000"/>
    <numFmt numFmtId="179" formatCode="#,##0.00000"/>
    <numFmt numFmtId="180" formatCode="#,##0.000000"/>
    <numFmt numFmtId="181" formatCode="#,##0.0000000"/>
    <numFmt numFmtId="182" formatCode="0.0"/>
    <numFmt numFmtId="183" formatCode="###\ ###\ ##\ ###.000"/>
    <numFmt numFmtId="184" formatCode="######\ ##\ ###.000"/>
    <numFmt numFmtId="185" formatCode="###\ ###\ ###\ ###.000"/>
    <numFmt numFmtId="186" formatCode="#\ ###\ ###.000"/>
    <numFmt numFmtId="187" formatCode="###\ \ ###\ \ ###\ ###.000"/>
    <numFmt numFmtId="188" formatCode="###\ \ ###\ \ ###\ ###.0000"/>
  </numFmts>
  <fonts count="56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sz val="11"/>
      <name val="Symbol"/>
      <family val="1"/>
    </font>
    <font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23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right"/>
    </xf>
    <xf numFmtId="166" fontId="0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8" fontId="0" fillId="0" borderId="16" xfId="0" applyNumberFormat="1" applyBorder="1" applyAlignment="1">
      <alignment/>
    </xf>
    <xf numFmtId="168" fontId="0" fillId="0" borderId="18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19" xfId="0" applyNumberFormat="1" applyBorder="1" applyAlignment="1">
      <alignment/>
    </xf>
    <xf numFmtId="168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27" xfId="0" applyFont="1" applyBorder="1" applyAlignment="1">
      <alignment/>
    </xf>
    <xf numFmtId="16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/>
    </xf>
    <xf numFmtId="2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167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178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35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top"/>
      <protection/>
    </xf>
    <xf numFmtId="178" fontId="5" fillId="0" borderId="28" xfId="0" applyNumberFormat="1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178" fontId="6" fillId="0" borderId="36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 vertical="center"/>
      <protection/>
    </xf>
    <xf numFmtId="172" fontId="6" fillId="0" borderId="38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29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68" fontId="0" fillId="0" borderId="16" xfId="0" applyNumberFormat="1" applyBorder="1" applyAlignment="1" applyProtection="1">
      <alignment/>
      <protection/>
    </xf>
    <xf numFmtId="168" fontId="0" fillId="0" borderId="18" xfId="0" applyNumberFormat="1" applyBorder="1" applyAlignment="1" applyProtection="1">
      <alignment/>
      <protection/>
    </xf>
    <xf numFmtId="166" fontId="0" fillId="0" borderId="17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 horizontal="center" wrapText="1"/>
      <protection/>
    </xf>
    <xf numFmtId="164" fontId="0" fillId="0" borderId="13" xfId="0" applyNumberFormat="1" applyFont="1" applyBorder="1" applyAlignment="1" applyProtection="1">
      <alignment/>
      <protection/>
    </xf>
    <xf numFmtId="168" fontId="0" fillId="0" borderId="13" xfId="0" applyNumberFormat="1" applyBorder="1" applyAlignment="1" applyProtection="1">
      <alignment/>
      <protection/>
    </xf>
    <xf numFmtId="168" fontId="0" fillId="0" borderId="14" xfId="0" applyNumberFormat="1" applyBorder="1" applyAlignment="1" applyProtection="1">
      <alignment/>
      <protection/>
    </xf>
    <xf numFmtId="0" fontId="3" fillId="0" borderId="29" xfId="0" applyFont="1" applyBorder="1" applyAlignment="1" applyProtection="1">
      <alignment horizontal="right"/>
      <protection/>
    </xf>
    <xf numFmtId="164" fontId="0" fillId="0" borderId="15" xfId="0" applyNumberForma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0" fillId="0" borderId="13" xfId="0" applyNumberFormat="1" applyBorder="1" applyAlignment="1" applyProtection="1">
      <alignment horizontal="right"/>
      <protection/>
    </xf>
    <xf numFmtId="164" fontId="0" fillId="0" borderId="14" xfId="0" applyNumberFormat="1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/>
    </xf>
    <xf numFmtId="175" fontId="7" fillId="0" borderId="24" xfId="0" applyNumberFormat="1" applyFont="1" applyBorder="1" applyAlignment="1" applyProtection="1">
      <alignment/>
      <protection/>
    </xf>
    <xf numFmtId="0" fontId="8" fillId="0" borderId="31" xfId="0" applyFont="1" applyBorder="1" applyAlignment="1" applyProtection="1">
      <alignment horizontal="right"/>
      <protection/>
    </xf>
    <xf numFmtId="3" fontId="7" fillId="0" borderId="25" xfId="0" applyNumberFormat="1" applyFont="1" applyBorder="1" applyAlignment="1" applyProtection="1">
      <alignment horizontal="right"/>
      <protection/>
    </xf>
    <xf numFmtId="3" fontId="7" fillId="0" borderId="25" xfId="0" applyNumberFormat="1" applyFont="1" applyBorder="1" applyAlignment="1" applyProtection="1">
      <alignment/>
      <protection/>
    </xf>
    <xf numFmtId="175" fontId="7" fillId="0" borderId="26" xfId="0" applyNumberFormat="1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2" fontId="0" fillId="0" borderId="18" xfId="0" applyNumberFormat="1" applyBorder="1" applyAlignment="1" applyProtection="1">
      <alignment/>
      <protection/>
    </xf>
    <xf numFmtId="173" fontId="0" fillId="0" borderId="13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33" xfId="0" applyBorder="1" applyAlignment="1">
      <alignment/>
    </xf>
    <xf numFmtId="0" fontId="6" fillId="0" borderId="30" xfId="0" applyFon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2" fontId="0" fillId="0" borderId="18" xfId="0" applyNumberFormat="1" applyBorder="1" applyAlignment="1">
      <alignment/>
    </xf>
    <xf numFmtId="187" fontId="5" fillId="0" borderId="24" xfId="0" applyNumberFormat="1" applyFont="1" applyBorder="1" applyAlignment="1">
      <alignment/>
    </xf>
    <xf numFmtId="2" fontId="11" fillId="33" borderId="26" xfId="0" applyNumberFormat="1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30" xfId="0" applyFont="1" applyBorder="1" applyAlignment="1" applyProtection="1">
      <alignment horizontal="center"/>
      <protection hidden="1"/>
    </xf>
    <xf numFmtId="3" fontId="6" fillId="0" borderId="13" xfId="0" applyNumberFormat="1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3" fontId="6" fillId="0" borderId="25" xfId="0" applyNumberFormat="1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6" fillId="0" borderId="40" xfId="0" applyFont="1" applyBorder="1" applyAlignment="1" applyProtection="1">
      <alignment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/>
      <protection hidden="1" locked="0"/>
    </xf>
    <xf numFmtId="0" fontId="6" fillId="33" borderId="33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6" fillId="33" borderId="13" xfId="0" applyFont="1" applyFill="1" applyBorder="1" applyAlignment="1" applyProtection="1">
      <alignment/>
      <protection hidden="1" locked="0"/>
    </xf>
    <xf numFmtId="0" fontId="6" fillId="33" borderId="24" xfId="0" applyFont="1" applyFill="1" applyBorder="1" applyAlignment="1" applyProtection="1">
      <alignment/>
      <protection hidden="1"/>
    </xf>
    <xf numFmtId="2" fontId="6" fillId="33" borderId="13" xfId="0" applyNumberFormat="1" applyFont="1" applyFill="1" applyBorder="1" applyAlignment="1" applyProtection="1">
      <alignment/>
      <protection hidden="1" locked="0"/>
    </xf>
    <xf numFmtId="171" fontId="6" fillId="33" borderId="13" xfId="0" applyNumberFormat="1" applyFont="1" applyFill="1" applyBorder="1" applyAlignment="1" applyProtection="1">
      <alignment/>
      <protection hidden="1" locked="0"/>
    </xf>
    <xf numFmtId="0" fontId="9" fillId="0" borderId="25" xfId="0" applyFont="1" applyBorder="1" applyAlignment="1" applyProtection="1">
      <alignment/>
      <protection hidden="1"/>
    </xf>
    <xf numFmtId="171" fontId="6" fillId="33" borderId="25" xfId="0" applyNumberFormat="1" applyFont="1" applyFill="1" applyBorder="1" applyAlignment="1" applyProtection="1">
      <alignment/>
      <protection hidden="1" locked="0"/>
    </xf>
    <xf numFmtId="0" fontId="6" fillId="33" borderId="26" xfId="0" applyFont="1" applyFill="1" applyBorder="1" applyAlignment="1" applyProtection="1">
      <alignment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178" fontId="6" fillId="0" borderId="11" xfId="0" applyNumberFormat="1" applyFont="1" applyBorder="1" applyAlignment="1" applyProtection="1">
      <alignment horizontal="righ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1" fontId="6" fillId="0" borderId="48" xfId="0" applyNumberFormat="1" applyFont="1" applyBorder="1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2" fontId="5" fillId="34" borderId="26" xfId="0" applyNumberFormat="1" applyFont="1" applyFill="1" applyBorder="1" applyAlignment="1" applyProtection="1">
      <alignment/>
      <protection hidden="1"/>
    </xf>
    <xf numFmtId="0" fontId="5" fillId="0" borderId="29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2" fontId="6" fillId="0" borderId="11" xfId="0" applyNumberFormat="1" applyFont="1" applyBorder="1" applyAlignment="1" applyProtection="1">
      <alignment horizontal="right"/>
      <protection hidden="1"/>
    </xf>
    <xf numFmtId="175" fontId="6" fillId="0" borderId="29" xfId="0" applyNumberFormat="1" applyFont="1" applyBorder="1" applyAlignment="1" applyProtection="1">
      <alignment horizontal="center"/>
      <protection hidden="1"/>
    </xf>
    <xf numFmtId="175" fontId="6" fillId="0" borderId="21" xfId="0" applyNumberFormat="1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178" fontId="6" fillId="0" borderId="50" xfId="0" applyNumberFormat="1" applyFont="1" applyBorder="1" applyAlignment="1" applyProtection="1">
      <alignment horizontal="center"/>
      <protection hidden="1"/>
    </xf>
    <xf numFmtId="185" fontId="5" fillId="34" borderId="51" xfId="0" applyNumberFormat="1" applyFont="1" applyFill="1" applyBorder="1" applyAlignment="1" applyProtection="1">
      <alignment horizontal="center"/>
      <protection hidden="1"/>
    </xf>
    <xf numFmtId="185" fontId="5" fillId="34" borderId="52" xfId="0" applyNumberFormat="1" applyFont="1" applyFill="1" applyBorder="1" applyAlignment="1" applyProtection="1">
      <alignment horizontal="center"/>
      <protection hidden="1"/>
    </xf>
    <xf numFmtId="185" fontId="5" fillId="34" borderId="38" xfId="0" applyNumberFormat="1" applyFont="1" applyFill="1" applyBorder="1" applyAlignment="1" applyProtection="1">
      <alignment horizontal="center"/>
      <protection hidden="1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8" fontId="6" fillId="0" borderId="25" xfId="0" applyNumberFormat="1" applyFont="1" applyBorder="1" applyAlignment="1" applyProtection="1">
      <alignment horizontal="right"/>
      <protection hidden="1"/>
    </xf>
    <xf numFmtId="185" fontId="11" fillId="33" borderId="31" xfId="0" applyNumberFormat="1" applyFont="1" applyFill="1" applyBorder="1" applyAlignment="1" applyProtection="1">
      <alignment/>
      <protection locked="0"/>
    </xf>
    <xf numFmtId="185" fontId="11" fillId="33" borderId="25" xfId="0" applyNumberFormat="1" applyFont="1" applyFill="1" applyBorder="1" applyAlignment="1" applyProtection="1">
      <alignment/>
      <protection locked="0"/>
    </xf>
    <xf numFmtId="178" fontId="6" fillId="0" borderId="13" xfId="0" applyNumberFormat="1" applyFont="1" applyBorder="1" applyAlignment="1" applyProtection="1">
      <alignment horizontal="right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13" xfId="0" applyNumberFormat="1" applyFont="1" applyBorder="1" applyAlignment="1" applyProtection="1">
      <alignment horizontal="center"/>
      <protection hidden="1"/>
    </xf>
    <xf numFmtId="2" fontId="6" fillId="0" borderId="24" xfId="0" applyNumberFormat="1" applyFont="1" applyBorder="1" applyAlignment="1" applyProtection="1">
      <alignment horizontal="center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33" borderId="29" xfId="0" applyFont="1" applyFill="1" applyBorder="1" applyAlignment="1" applyProtection="1">
      <alignment horizontal="center"/>
      <protection locked="0"/>
    </xf>
    <xf numFmtId="0" fontId="11" fillId="33" borderId="21" xfId="0" applyFont="1" applyFill="1" applyBorder="1" applyAlignment="1" applyProtection="1">
      <alignment horizontal="center"/>
      <protection locked="0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8" fontId="6" fillId="0" borderId="11" xfId="0" applyNumberFormat="1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2" fontId="6" fillId="0" borderId="25" xfId="0" applyNumberFormat="1" applyFont="1" applyBorder="1" applyAlignment="1" applyProtection="1">
      <alignment horizontal="right"/>
      <protection hidden="1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171" fontId="5" fillId="0" borderId="61" xfId="0" applyNumberFormat="1" applyFont="1" applyBorder="1" applyAlignment="1" applyProtection="1">
      <alignment horizontal="right" vertical="center"/>
      <protection/>
    </xf>
    <xf numFmtId="171" fontId="5" fillId="0" borderId="62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70" fontId="0" fillId="0" borderId="29" xfId="0" applyNumberFormat="1" applyBorder="1" applyAlignment="1" applyProtection="1">
      <alignment horizontal="center"/>
      <protection/>
    </xf>
    <xf numFmtId="170" fontId="0" fillId="0" borderId="18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164" fontId="0" fillId="0" borderId="29" xfId="0" applyNumberForma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0" fillId="0" borderId="36" xfId="0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1"/>
  <sheetViews>
    <sheetView showGridLines="0" tabSelected="1" zoomScalePageLayoutView="0" workbookViewId="0" topLeftCell="A1">
      <selection activeCell="N14" sqref="N14:O14"/>
    </sheetView>
  </sheetViews>
  <sheetFormatPr defaultColWidth="11.421875" defaultRowHeight="12.75"/>
  <cols>
    <col min="1" max="1" width="1.57421875" style="0" customWidth="1"/>
    <col min="2" max="2" width="10.8515625" style="0" customWidth="1"/>
    <col min="3" max="3" width="6.57421875" style="0" customWidth="1"/>
    <col min="4" max="4" width="11.00390625" style="0" customWidth="1"/>
    <col min="5" max="5" width="5.28125" style="0" customWidth="1"/>
    <col min="6" max="6" width="9.7109375" style="0" customWidth="1"/>
    <col min="7" max="7" width="5.8515625" style="0" customWidth="1"/>
  </cols>
  <sheetData>
    <row r="1" ht="12.75" thickBot="1"/>
    <row r="2" spans="2:16" ht="14.25">
      <c r="B2" s="292" t="s">
        <v>115</v>
      </c>
      <c r="C2" s="293"/>
      <c r="D2" s="293"/>
      <c r="E2" s="293"/>
      <c r="F2" s="293"/>
      <c r="G2" s="293"/>
      <c r="H2" s="293"/>
      <c r="I2" s="293"/>
      <c r="J2" s="294"/>
      <c r="L2" s="256" t="s">
        <v>121</v>
      </c>
      <c r="M2" s="256"/>
      <c r="N2" s="256"/>
      <c r="O2" s="256"/>
      <c r="P2" s="256"/>
    </row>
    <row r="3" spans="2:16" ht="15" thickBot="1">
      <c r="B3" s="295" t="s">
        <v>116</v>
      </c>
      <c r="C3" s="296"/>
      <c r="D3" s="296"/>
      <c r="E3" s="296"/>
      <c r="F3" s="296"/>
      <c r="G3" s="296"/>
      <c r="H3" s="296"/>
      <c r="I3" s="296"/>
      <c r="J3" s="297"/>
      <c r="L3" s="283" t="s">
        <v>120</v>
      </c>
      <c r="M3" s="284"/>
      <c r="N3" s="284"/>
      <c r="O3" s="284"/>
      <c r="P3" s="285"/>
    </row>
    <row r="4" spans="12:16" ht="12.75">
      <c r="L4" s="286"/>
      <c r="M4" s="287"/>
      <c r="N4" s="287"/>
      <c r="O4" s="287"/>
      <c r="P4" s="288"/>
    </row>
    <row r="5" spans="2:16" ht="12.75">
      <c r="B5" s="298" t="s">
        <v>117</v>
      </c>
      <c r="C5" s="298"/>
      <c r="D5" s="298"/>
      <c r="E5" s="298"/>
      <c r="F5" s="298"/>
      <c r="G5" s="298"/>
      <c r="H5" s="298"/>
      <c r="I5" s="298"/>
      <c r="J5" s="298"/>
      <c r="L5" s="286"/>
      <c r="M5" s="287"/>
      <c r="N5" s="287"/>
      <c r="O5" s="287"/>
      <c r="P5" s="288"/>
    </row>
    <row r="6" spans="2:16" ht="12.75" customHeight="1">
      <c r="B6" s="299"/>
      <c r="C6" s="299"/>
      <c r="D6" s="299"/>
      <c r="E6" s="299"/>
      <c r="F6" s="299"/>
      <c r="G6" s="299"/>
      <c r="H6" s="299"/>
      <c r="I6" s="299"/>
      <c r="J6" s="299"/>
      <c r="L6" s="289"/>
      <c r="M6" s="290"/>
      <c r="N6" s="290"/>
      <c r="O6" s="290"/>
      <c r="P6" s="291"/>
    </row>
    <row r="7" spans="2:10" ht="12.75" customHeight="1">
      <c r="B7" s="299"/>
      <c r="C7" s="299"/>
      <c r="D7" s="299"/>
      <c r="E7" s="299"/>
      <c r="F7" s="299"/>
      <c r="G7" s="299"/>
      <c r="H7" s="299"/>
      <c r="I7" s="299"/>
      <c r="J7" s="299"/>
    </row>
    <row r="9" ht="13.5" customHeight="1" thickBot="1">
      <c r="J9" s="4"/>
    </row>
    <row r="10" spans="2:16" ht="14.25" customHeight="1">
      <c r="B10" s="245" t="s">
        <v>106</v>
      </c>
      <c r="C10" s="246"/>
      <c r="D10" s="246"/>
      <c r="E10" s="246"/>
      <c r="F10" s="247"/>
      <c r="J10" s="4"/>
      <c r="L10" s="245" t="s">
        <v>104</v>
      </c>
      <c r="M10" s="246"/>
      <c r="N10" s="246"/>
      <c r="O10" s="246"/>
      <c r="P10" s="247"/>
    </row>
    <row r="11" spans="2:16" ht="14.25" customHeight="1">
      <c r="B11" s="248"/>
      <c r="C11" s="249"/>
      <c r="D11" s="249"/>
      <c r="E11" s="249"/>
      <c r="F11" s="250"/>
      <c r="J11" s="4"/>
      <c r="L11" s="248"/>
      <c r="M11" s="249"/>
      <c r="N11" s="249"/>
      <c r="O11" s="249"/>
      <c r="P11" s="250"/>
    </row>
    <row r="12" spans="2:16" ht="14.25">
      <c r="B12" s="277" t="s">
        <v>30</v>
      </c>
      <c r="C12" s="270"/>
      <c r="D12" s="270"/>
      <c r="E12" s="270"/>
      <c r="F12" s="271"/>
      <c r="J12" s="4"/>
      <c r="L12" s="255" t="s">
        <v>95</v>
      </c>
      <c r="M12" s="256"/>
      <c r="N12" s="256"/>
      <c r="O12" s="256"/>
      <c r="P12" s="257"/>
    </row>
    <row r="13" spans="2:16" ht="15">
      <c r="B13" s="278" t="s">
        <v>88</v>
      </c>
      <c r="C13" s="279"/>
      <c r="D13" s="280"/>
      <c r="E13" s="281">
        <v>32</v>
      </c>
      <c r="F13" s="282"/>
      <c r="J13" s="4"/>
      <c r="L13" s="251" t="s">
        <v>3</v>
      </c>
      <c r="M13" s="252"/>
      <c r="N13" s="180">
        <v>9</v>
      </c>
      <c r="O13" s="230" t="s">
        <v>12</v>
      </c>
      <c r="P13" s="231" t="str">
        <f>IF(ABS('UP ellip =&gt;GK'!D8)&gt;3,"????",IF(MOD(N13,3)&gt;0,"????"," "))</f>
        <v> </v>
      </c>
    </row>
    <row r="14" spans="2:16" ht="15">
      <c r="B14" s="274" t="s">
        <v>86</v>
      </c>
      <c r="C14" s="275"/>
      <c r="D14" s="276" t="s">
        <v>87</v>
      </c>
      <c r="E14" s="276"/>
      <c r="F14" s="163" t="s">
        <v>56</v>
      </c>
      <c r="J14" s="4"/>
      <c r="L14" s="253" t="s">
        <v>96</v>
      </c>
      <c r="M14" s="254"/>
      <c r="N14" s="254" t="s">
        <v>97</v>
      </c>
      <c r="O14" s="254"/>
      <c r="P14" s="163" t="s">
        <v>56</v>
      </c>
    </row>
    <row r="15" spans="2:16" ht="14.25" customHeight="1" thickBot="1">
      <c r="B15" s="259">
        <v>438958.217</v>
      </c>
      <c r="C15" s="260"/>
      <c r="D15" s="260">
        <v>5824752.897</v>
      </c>
      <c r="E15" s="260"/>
      <c r="F15" s="179">
        <v>200</v>
      </c>
      <c r="J15" s="4"/>
      <c r="L15" s="242">
        <f>'UP ellip =&gt;GK'!C48</f>
        <v>3439006.021067699</v>
      </c>
      <c r="M15" s="243"/>
      <c r="N15" s="244">
        <f>'UP ellip =&gt;GK'!E48</f>
        <v>5826642.388238158</v>
      </c>
      <c r="O15" s="243"/>
      <c r="P15" s="229">
        <f>D50</f>
        <v>157.02158821187913</v>
      </c>
    </row>
    <row r="16" spans="2:12" ht="14.25" customHeight="1">
      <c r="B16" s="265" t="s">
        <v>72</v>
      </c>
      <c r="C16" s="266"/>
      <c r="D16" s="266"/>
      <c r="E16" s="266"/>
      <c r="F16" s="267"/>
      <c r="J16" s="4"/>
      <c r="L16" s="23"/>
    </row>
    <row r="17" spans="2:14" ht="15">
      <c r="B17" s="169"/>
      <c r="C17" s="164" t="s">
        <v>52</v>
      </c>
      <c r="D17" s="164" t="s">
        <v>53</v>
      </c>
      <c r="E17" s="270" t="s">
        <v>54</v>
      </c>
      <c r="F17" s="271"/>
      <c r="J17" s="4"/>
      <c r="L17" s="309" t="str">
        <f>IF(P13="????"," Prüfe Bezugsmeridian !!!",IF(MOD(N13,3)&gt;0," Prüfe Bezugsmeridian","  "))</f>
        <v>  </v>
      </c>
      <c r="M17" s="309"/>
      <c r="N17" s="309"/>
    </row>
    <row r="18" spans="2:16" ht="14.25" customHeight="1">
      <c r="B18" s="183" t="s">
        <v>57</v>
      </c>
      <c r="C18" s="184">
        <f>'UP UTM=&gt;ellip '!C47</f>
        <v>8</v>
      </c>
      <c r="D18" s="184">
        <f>'UP UTM=&gt;ellip '!D47</f>
        <v>5</v>
      </c>
      <c r="E18" s="272">
        <f>'UP UTM=&gt;ellip '!E47</f>
        <v>57.66689231135304</v>
      </c>
      <c r="F18" s="273"/>
      <c r="J18" s="4"/>
      <c r="L18" s="182"/>
      <c r="M18" s="181"/>
      <c r="N18" s="181"/>
      <c r="O18" s="181"/>
      <c r="P18" s="181"/>
    </row>
    <row r="19" spans="2:16" ht="14.25">
      <c r="B19" s="183" t="s">
        <v>58</v>
      </c>
      <c r="C19" s="184">
        <f>'UP UTM=&gt;ellip '!C48</f>
        <v>52</v>
      </c>
      <c r="D19" s="184">
        <f>'UP UTM=&gt;ellip '!D48</f>
        <v>34</v>
      </c>
      <c r="E19" s="272">
        <f>'UP UTM=&gt;ellip '!E48</f>
        <v>9.850720928662948</v>
      </c>
      <c r="F19" s="273"/>
      <c r="J19" s="4"/>
      <c r="L19" s="181"/>
      <c r="M19" s="181"/>
      <c r="N19" s="181"/>
      <c r="O19" s="181"/>
      <c r="P19" s="181"/>
    </row>
    <row r="20" spans="2:16" ht="15" customHeight="1" thickBot="1">
      <c r="B20" s="185" t="s">
        <v>56</v>
      </c>
      <c r="C20" s="186"/>
      <c r="D20" s="323">
        <f>F15</f>
        <v>200</v>
      </c>
      <c r="E20" s="323"/>
      <c r="F20" s="187" t="s">
        <v>82</v>
      </c>
      <c r="J20" s="4"/>
      <c r="L20" s="300" t="s">
        <v>119</v>
      </c>
      <c r="M20" s="301"/>
      <c r="N20" s="301"/>
      <c r="O20" s="301"/>
      <c r="P20" s="302"/>
    </row>
    <row r="21" spans="2:16" ht="14.25" customHeight="1" thickBot="1">
      <c r="B21" s="23"/>
      <c r="C21" s="188"/>
      <c r="D21" s="188"/>
      <c r="E21" s="188"/>
      <c r="F21" s="188"/>
      <c r="J21" s="4"/>
      <c r="L21" s="303"/>
      <c r="M21" s="304"/>
      <c r="N21" s="304"/>
      <c r="O21" s="304"/>
      <c r="P21" s="305"/>
    </row>
    <row r="22" spans="2:16" ht="14.25" customHeight="1" thickBot="1">
      <c r="B22" s="262" t="s">
        <v>107</v>
      </c>
      <c r="C22" s="263"/>
      <c r="D22" s="263"/>
      <c r="E22" s="263"/>
      <c r="F22" s="264"/>
      <c r="J22" s="4"/>
      <c r="L22" s="303"/>
      <c r="M22" s="304"/>
      <c r="N22" s="304"/>
      <c r="O22" s="304"/>
      <c r="P22" s="305"/>
    </row>
    <row r="23" spans="2:16" ht="15" thickBot="1">
      <c r="B23" s="268" t="s">
        <v>83</v>
      </c>
      <c r="C23" s="269"/>
      <c r="D23" s="261">
        <f>'UP Dat-Trans '!D16</f>
        <v>3846209.9022880057</v>
      </c>
      <c r="E23" s="261"/>
      <c r="F23" s="190" t="s">
        <v>82</v>
      </c>
      <c r="H23" s="161"/>
      <c r="J23" s="4"/>
      <c r="L23" s="303"/>
      <c r="M23" s="304"/>
      <c r="N23" s="304"/>
      <c r="O23" s="304"/>
      <c r="P23" s="305"/>
    </row>
    <row r="24" spans="2:16" ht="14.25">
      <c r="B24" s="268" t="s">
        <v>36</v>
      </c>
      <c r="C24" s="269"/>
      <c r="D24" s="261">
        <f>'UP Dat-Trans '!D17</f>
        <v>547352.3441844024</v>
      </c>
      <c r="E24" s="261"/>
      <c r="F24" s="190" t="s">
        <v>82</v>
      </c>
      <c r="J24" s="4"/>
      <c r="L24" s="306"/>
      <c r="M24" s="307"/>
      <c r="N24" s="307"/>
      <c r="O24" s="307"/>
      <c r="P24" s="308"/>
    </row>
    <row r="25" spans="2:10" ht="15" thickBot="1">
      <c r="B25" s="321" t="s">
        <v>84</v>
      </c>
      <c r="C25" s="322"/>
      <c r="D25" s="258">
        <f>'UP Dat-Trans '!D18</f>
        <v>5041721.148680025</v>
      </c>
      <c r="E25" s="258"/>
      <c r="F25" s="187" t="s">
        <v>82</v>
      </c>
      <c r="J25" s="4"/>
    </row>
    <row r="26" spans="2:10" ht="12.75">
      <c r="B26" s="191"/>
      <c r="C26" s="191"/>
      <c r="D26" s="191"/>
      <c r="E26" s="191"/>
      <c r="F26" s="191"/>
      <c r="J26" s="4"/>
    </row>
    <row r="27" spans="2:10" ht="13.5" thickBot="1">
      <c r="B27" s="23"/>
      <c r="C27" s="23"/>
      <c r="D27" s="23"/>
      <c r="E27" s="23"/>
      <c r="F27" s="23"/>
      <c r="J27" s="4"/>
    </row>
    <row r="28" spans="2:10" ht="12.75">
      <c r="B28" s="314" t="s">
        <v>103</v>
      </c>
      <c r="C28" s="315"/>
      <c r="D28" s="315"/>
      <c r="E28" s="316"/>
      <c r="F28" s="23"/>
      <c r="J28" s="4"/>
    </row>
    <row r="29" spans="2:10" ht="15" thickBot="1">
      <c r="B29" s="317"/>
      <c r="C29" s="318"/>
      <c r="D29" s="318"/>
      <c r="E29" s="319"/>
      <c r="F29" s="192"/>
      <c r="G29" s="74"/>
      <c r="J29" s="4"/>
    </row>
    <row r="30" spans="2:10" ht="15.75" thickTop="1">
      <c r="B30" s="320" t="s">
        <v>62</v>
      </c>
      <c r="C30" s="193" t="s">
        <v>74</v>
      </c>
      <c r="D30" s="194">
        <v>-590.5</v>
      </c>
      <c r="E30" s="195" t="s">
        <v>1</v>
      </c>
      <c r="F30" s="196"/>
      <c r="G30" s="65"/>
      <c r="J30" s="4"/>
    </row>
    <row r="31" spans="2:10" ht="15">
      <c r="B31" s="237"/>
      <c r="C31" s="197" t="s">
        <v>75</v>
      </c>
      <c r="D31" s="198">
        <v>-69.5</v>
      </c>
      <c r="E31" s="199" t="s">
        <v>1</v>
      </c>
      <c r="F31" s="196"/>
      <c r="G31" s="65"/>
      <c r="J31" s="4"/>
    </row>
    <row r="32" spans="2:10" ht="15">
      <c r="B32" s="237"/>
      <c r="C32" s="197" t="s">
        <v>76</v>
      </c>
      <c r="D32" s="198">
        <v>-411.6</v>
      </c>
      <c r="E32" s="199" t="s">
        <v>1</v>
      </c>
      <c r="F32" s="196"/>
      <c r="G32" s="65"/>
      <c r="J32" s="4"/>
    </row>
    <row r="33" spans="2:10" ht="14.25">
      <c r="B33" s="235" t="s">
        <v>64</v>
      </c>
      <c r="C33" s="236"/>
      <c r="D33" s="200">
        <v>-8.3</v>
      </c>
      <c r="E33" s="199" t="s">
        <v>118</v>
      </c>
      <c r="F33" s="196"/>
      <c r="G33" s="65"/>
      <c r="J33" s="4"/>
    </row>
    <row r="34" spans="2:12" ht="18.75">
      <c r="B34" s="237" t="s">
        <v>63</v>
      </c>
      <c r="C34" s="197" t="s">
        <v>77</v>
      </c>
      <c r="D34" s="201">
        <v>-0.796</v>
      </c>
      <c r="E34" s="199" t="s">
        <v>85</v>
      </c>
      <c r="F34" s="196"/>
      <c r="G34" s="65"/>
      <c r="J34" s="4"/>
      <c r="L34" s="162"/>
    </row>
    <row r="35" spans="2:10" ht="18.75">
      <c r="B35" s="237"/>
      <c r="C35" s="197" t="s">
        <v>78</v>
      </c>
      <c r="D35" s="201">
        <v>-0.052</v>
      </c>
      <c r="E35" s="199" t="s">
        <v>85</v>
      </c>
      <c r="F35" s="196"/>
      <c r="G35" s="65"/>
      <c r="J35" s="4"/>
    </row>
    <row r="36" spans="2:10" ht="19.5" thickBot="1">
      <c r="B36" s="238"/>
      <c r="C36" s="202" t="s">
        <v>79</v>
      </c>
      <c r="D36" s="203">
        <v>-3.601</v>
      </c>
      <c r="E36" s="204" t="s">
        <v>85</v>
      </c>
      <c r="F36" s="196"/>
      <c r="G36" s="65"/>
      <c r="J36" s="4"/>
    </row>
    <row r="37" spans="2:12" ht="12.75">
      <c r="B37" s="23"/>
      <c r="C37" s="23"/>
      <c r="D37" s="23"/>
      <c r="E37" s="23"/>
      <c r="F37" s="23"/>
      <c r="J37" s="4"/>
      <c r="K37" s="4"/>
      <c r="L37" s="4"/>
    </row>
    <row r="38" spans="2:12" ht="12.75" thickBot="1">
      <c r="B38" s="23"/>
      <c r="C38" s="23"/>
      <c r="D38" s="23"/>
      <c r="E38" s="23"/>
      <c r="F38" s="23"/>
      <c r="J38" s="4"/>
      <c r="K38" s="4"/>
      <c r="L38" s="4"/>
    </row>
    <row r="39" spans="2:12" ht="14.25">
      <c r="B39" s="205" t="s">
        <v>104</v>
      </c>
      <c r="C39" s="206"/>
      <c r="D39" s="206"/>
      <c r="E39" s="206"/>
      <c r="F39" s="207"/>
      <c r="G39" s="4"/>
      <c r="H39" s="4"/>
      <c r="I39" s="4"/>
      <c r="J39" s="4"/>
      <c r="K39" s="4"/>
      <c r="L39" s="4"/>
    </row>
    <row r="40" spans="2:12" ht="12.75" customHeight="1" thickBot="1">
      <c r="B40" s="208"/>
      <c r="C40" s="209"/>
      <c r="D40" s="209"/>
      <c r="E40" s="209"/>
      <c r="F40" s="210"/>
      <c r="G40" s="4"/>
      <c r="H40" s="4"/>
      <c r="I40" s="4"/>
      <c r="J40" s="4"/>
      <c r="K40" s="4"/>
      <c r="L40" s="4"/>
    </row>
    <row r="41" spans="2:12" ht="15" thickTop="1">
      <c r="B41" s="311" t="s">
        <v>105</v>
      </c>
      <c r="C41" s="312"/>
      <c r="D41" s="312"/>
      <c r="E41" s="312"/>
      <c r="F41" s="313"/>
      <c r="G41" s="65"/>
      <c r="H41" s="65"/>
      <c r="I41" s="4"/>
      <c r="J41" s="4"/>
      <c r="K41" s="4"/>
      <c r="L41" s="4"/>
    </row>
    <row r="42" spans="2:12" ht="14.25">
      <c r="B42" s="211" t="s">
        <v>83</v>
      </c>
      <c r="C42" s="310">
        <f>'UP Dat-Trans '!D30</f>
        <v>3845579.1940939687</v>
      </c>
      <c r="D42" s="310"/>
      <c r="E42" s="212"/>
      <c r="F42" s="213" t="s">
        <v>82</v>
      </c>
      <c r="G42" s="65"/>
      <c r="H42" s="65"/>
      <c r="I42" s="4"/>
      <c r="J42" s="4"/>
      <c r="K42" s="67"/>
      <c r="L42" s="67"/>
    </row>
    <row r="43" spans="2:12" ht="14.25">
      <c r="B43" s="211" t="s">
        <v>36</v>
      </c>
      <c r="C43" s="310">
        <f>'UP Dat-Trans '!D31</f>
        <v>547325.991846281</v>
      </c>
      <c r="D43" s="310"/>
      <c r="E43" s="212"/>
      <c r="F43" s="213" t="s">
        <v>82</v>
      </c>
      <c r="G43" s="65"/>
      <c r="H43" s="65"/>
      <c r="I43" s="4"/>
      <c r="J43" s="4"/>
      <c r="K43" s="67"/>
      <c r="L43" s="67"/>
    </row>
    <row r="44" spans="2:12" ht="15" thickBot="1">
      <c r="B44" s="211" t="s">
        <v>84</v>
      </c>
      <c r="C44" s="241">
        <f>'UP Dat-Trans '!D32</f>
        <v>5041268.845040196</v>
      </c>
      <c r="D44" s="241"/>
      <c r="E44" s="212"/>
      <c r="F44" s="213" t="s">
        <v>82</v>
      </c>
      <c r="G44" s="65"/>
      <c r="H44" s="65"/>
      <c r="I44" s="4"/>
      <c r="J44" s="4"/>
      <c r="K44" s="67"/>
      <c r="L44" s="67"/>
    </row>
    <row r="45" spans="2:12" ht="14.25">
      <c r="B45" s="214" t="s">
        <v>73</v>
      </c>
      <c r="C45" s="215"/>
      <c r="D45" s="215"/>
      <c r="E45" s="215"/>
      <c r="F45" s="216"/>
      <c r="G45" s="65"/>
      <c r="H45" s="65"/>
      <c r="I45" s="4"/>
      <c r="J45" s="4"/>
      <c r="K45" s="68"/>
      <c r="L45" s="68"/>
    </row>
    <row r="46" spans="2:12" ht="15" thickBot="1">
      <c r="B46" s="217"/>
      <c r="C46" s="218"/>
      <c r="D46" s="218"/>
      <c r="E46" s="218"/>
      <c r="F46" s="219"/>
      <c r="G46" s="65"/>
      <c r="H46" s="65"/>
      <c r="I46" s="4"/>
      <c r="J46" s="4"/>
      <c r="K46" s="4"/>
      <c r="L46" s="4"/>
    </row>
    <row r="47" spans="2:10" ht="15" thickTop="1">
      <c r="B47" s="220"/>
      <c r="C47" s="221" t="s">
        <v>52</v>
      </c>
      <c r="D47" s="221" t="s">
        <v>53</v>
      </c>
      <c r="E47" s="239" t="s">
        <v>54</v>
      </c>
      <c r="F47" s="240"/>
      <c r="G47" s="65"/>
      <c r="H47" s="65"/>
      <c r="I47" s="4"/>
      <c r="J47" s="4"/>
    </row>
    <row r="48" spans="2:10" ht="14.25">
      <c r="B48" s="222" t="s">
        <v>57</v>
      </c>
      <c r="C48" s="223">
        <f>'UP Dat-Trans '!C51</f>
        <v>8</v>
      </c>
      <c r="D48" s="224">
        <f>'UP Dat-Trans '!D51</f>
        <v>6</v>
      </c>
      <c r="E48" s="233">
        <f>'UP Dat-Trans '!E51</f>
        <v>1.0001418044071215</v>
      </c>
      <c r="F48" s="234"/>
      <c r="G48" s="4"/>
      <c r="H48" s="65"/>
      <c r="I48" s="4"/>
      <c r="J48" s="4"/>
    </row>
    <row r="49" spans="2:10" ht="14.25">
      <c r="B49" s="183" t="s">
        <v>58</v>
      </c>
      <c r="C49" s="225">
        <f>'UP Dat-Trans '!C50</f>
        <v>52</v>
      </c>
      <c r="D49" s="226">
        <f>'UP Dat-Trans '!D50</f>
        <v>34</v>
      </c>
      <c r="E49" s="233">
        <f>'UP Dat-Trans '!E50</f>
        <v>15.015757164147544</v>
      </c>
      <c r="F49" s="234"/>
      <c r="G49" s="4"/>
      <c r="H49" s="66"/>
      <c r="J49" s="4"/>
    </row>
    <row r="50" spans="2:10" ht="14.25">
      <c r="B50" s="189" t="s">
        <v>56</v>
      </c>
      <c r="C50" s="227"/>
      <c r="D50" s="232">
        <f>'UP Dat-Trans '!D47</f>
        <v>157.02158821187913</v>
      </c>
      <c r="E50" s="232"/>
      <c r="F50" s="228" t="s">
        <v>82</v>
      </c>
      <c r="G50" s="4"/>
      <c r="H50" s="66"/>
      <c r="I50" s="4"/>
      <c r="J50" s="4"/>
    </row>
    <row r="51" spans="7:10" ht="14.25">
      <c r="G51" s="65"/>
      <c r="H51" s="65"/>
      <c r="I51" s="4"/>
      <c r="J51" s="4"/>
    </row>
    <row r="52" spans="7:10" ht="14.25">
      <c r="G52" s="65"/>
      <c r="H52" s="65"/>
      <c r="I52" s="4"/>
      <c r="J52" s="4"/>
    </row>
    <row r="53" spans="7:10" ht="14.25">
      <c r="G53" s="65"/>
      <c r="H53" s="65"/>
      <c r="I53" s="4"/>
      <c r="J53" s="4"/>
    </row>
    <row r="54" spans="7:10" ht="12.75">
      <c r="G54" s="4"/>
      <c r="I54" s="4"/>
      <c r="J54" s="4"/>
    </row>
    <row r="55" spans="7:10" ht="14.25">
      <c r="G55" s="65"/>
      <c r="H55" s="65"/>
      <c r="I55" s="4"/>
      <c r="J55" s="4"/>
    </row>
    <row r="56" spans="7:10" ht="14.25">
      <c r="G56" s="65"/>
      <c r="H56" s="65"/>
      <c r="I56" s="4"/>
      <c r="J56" s="4"/>
    </row>
    <row r="57" spans="7:10" ht="14.25">
      <c r="G57" s="65"/>
      <c r="H57" s="65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ht="12.75">
      <c r="J59" s="4"/>
    </row>
    <row r="60" ht="12.75">
      <c r="J60" s="4"/>
    </row>
    <row r="61" ht="12.75">
      <c r="J61" s="4"/>
    </row>
    <row r="62" ht="12.75">
      <c r="J62" s="4"/>
    </row>
    <row r="63" ht="12.75">
      <c r="J63" s="4"/>
    </row>
    <row r="64" ht="12.75">
      <c r="J64" s="4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</sheetData>
  <sheetProtection password="CDC6" sheet="1" objects="1" scenarios="1"/>
  <mergeCells count="46">
    <mergeCell ref="B28:E29"/>
    <mergeCell ref="B30:B32"/>
    <mergeCell ref="D24:E24"/>
    <mergeCell ref="B25:C25"/>
    <mergeCell ref="D20:E20"/>
    <mergeCell ref="L2:P2"/>
    <mergeCell ref="L3:P6"/>
    <mergeCell ref="B2:J2"/>
    <mergeCell ref="B3:J3"/>
    <mergeCell ref="B5:J7"/>
    <mergeCell ref="L20:P24"/>
    <mergeCell ref="L17:N17"/>
    <mergeCell ref="B24:C24"/>
    <mergeCell ref="B10:F11"/>
    <mergeCell ref="B14:C14"/>
    <mergeCell ref="D14:E14"/>
    <mergeCell ref="B12:F12"/>
    <mergeCell ref="B13:D13"/>
    <mergeCell ref="E13:F13"/>
    <mergeCell ref="D25:E25"/>
    <mergeCell ref="B15:C15"/>
    <mergeCell ref="D15:E15"/>
    <mergeCell ref="D23:E23"/>
    <mergeCell ref="B22:F22"/>
    <mergeCell ref="B16:F16"/>
    <mergeCell ref="B23:C23"/>
    <mergeCell ref="E17:F17"/>
    <mergeCell ref="E18:F18"/>
    <mergeCell ref="E19:F19"/>
    <mergeCell ref="L15:M15"/>
    <mergeCell ref="N15:O15"/>
    <mergeCell ref="L10:P11"/>
    <mergeCell ref="L13:M13"/>
    <mergeCell ref="L14:M14"/>
    <mergeCell ref="N14:O14"/>
    <mergeCell ref="L12:P12"/>
    <mergeCell ref="D50:E50"/>
    <mergeCell ref="E48:F48"/>
    <mergeCell ref="B33:C33"/>
    <mergeCell ref="B34:B36"/>
    <mergeCell ref="E49:F49"/>
    <mergeCell ref="E47:F47"/>
    <mergeCell ref="C44:D44"/>
    <mergeCell ref="C42:D42"/>
    <mergeCell ref="C43:D43"/>
    <mergeCell ref="B41:F41"/>
  </mergeCells>
  <conditionalFormatting sqref="L17:N17">
    <cfRule type="expression" priority="1" dxfId="0" stopIfTrue="1">
      <formula>$P$13="????"</formula>
    </cfRule>
  </conditionalFormatting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4"/>
  <headerFooter alignWithMargins="0">
    <oddHeader>&amp;CUmrechnung von GK-Koordinaten des Rauenberg Datums
in UTM Koordinaten des ETRS89 Datums</oddHeader>
  </headerFooter>
  <legacyDrawing r:id="rId3"/>
  <oleObjects>
    <oleObject progId="CorelDRAW.Graphic.10" shapeId="892032" r:id="rId1"/>
    <oleObject progId="CorelDRAW.Graphic.10" shapeId="2194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3.00390625" style="0" customWidth="1"/>
    <col min="2" max="2" width="14.140625" style="0" bestFit="1" customWidth="1"/>
    <col min="3" max="3" width="21.7109375" style="0" customWidth="1"/>
    <col min="4" max="4" width="15.28125" style="0" customWidth="1"/>
    <col min="5" max="5" width="20.00390625" style="0" customWidth="1"/>
    <col min="6" max="6" width="14.421875" style="0" bestFit="1" customWidth="1"/>
  </cols>
  <sheetData>
    <row r="1" spans="2:5" ht="15" thickBot="1">
      <c r="B1" s="356" t="s">
        <v>108</v>
      </c>
      <c r="C1" s="357"/>
      <c r="D1" s="357"/>
      <c r="E1" s="358"/>
    </row>
    <row r="2" spans="2:7" ht="14.25">
      <c r="B2" s="104" t="s">
        <v>86</v>
      </c>
      <c r="C2" s="105">
        <f>'UTM(ETRS) =&gt;GK(DHDN)'!B15</f>
        <v>438958.217</v>
      </c>
      <c r="D2" s="106" t="s">
        <v>87</v>
      </c>
      <c r="E2" s="107">
        <f>'UTM(ETRS) =&gt;GK(DHDN)'!D15</f>
        <v>5824752.897</v>
      </c>
      <c r="G2" s="23"/>
    </row>
    <row r="3" spans="2:5" ht="14.25">
      <c r="B3" s="108" t="s">
        <v>36</v>
      </c>
      <c r="C3" s="109">
        <f>C2-500000</f>
        <v>-61041.782999999996</v>
      </c>
      <c r="D3" s="324" t="s">
        <v>56</v>
      </c>
      <c r="E3" s="326">
        <f>'UTM(ETRS) =&gt;GK(DHDN)'!F15</f>
        <v>200</v>
      </c>
    </row>
    <row r="4" spans="2:5" ht="15" thickBot="1">
      <c r="B4" s="110" t="s">
        <v>45</v>
      </c>
      <c r="C4" s="111">
        <f>C3/100000</f>
        <v>-0.6104178299999999</v>
      </c>
      <c r="D4" s="325"/>
      <c r="E4" s="327"/>
    </row>
    <row r="5" spans="2:5" ht="12.75">
      <c r="B5" s="112"/>
      <c r="C5" s="113"/>
      <c r="D5" s="113"/>
      <c r="E5" s="113"/>
    </row>
    <row r="6" spans="2:5" ht="14.25">
      <c r="B6" s="114" t="s">
        <v>3</v>
      </c>
      <c r="C6" s="115"/>
      <c r="D6" s="115">
        <f>('UTM(ETRS) =&gt;GK(DHDN)'!E13-30)*6-3</f>
        <v>9</v>
      </c>
      <c r="E6" s="116" t="s">
        <v>12</v>
      </c>
    </row>
    <row r="7" spans="2:5" ht="12.75">
      <c r="B7" s="113"/>
      <c r="C7" s="113"/>
      <c r="D7" s="113"/>
      <c r="E7" s="113"/>
    </row>
    <row r="8" spans="2:5" ht="12.75" thickBot="1">
      <c r="B8" s="334" t="s">
        <v>89</v>
      </c>
      <c r="C8" s="335"/>
      <c r="D8" s="335"/>
      <c r="E8" s="336"/>
    </row>
    <row r="9" spans="2:5" ht="12.75" thickTop="1">
      <c r="B9" s="337" t="s">
        <v>0</v>
      </c>
      <c r="C9" s="338"/>
      <c r="D9" s="36">
        <v>6378137</v>
      </c>
      <c r="E9" s="117" t="s">
        <v>1</v>
      </c>
    </row>
    <row r="10" spans="2:5" ht="15.75" customHeight="1">
      <c r="B10" s="339" t="s">
        <v>2</v>
      </c>
      <c r="C10" s="340"/>
      <c r="D10" s="35">
        <v>6356752.3142</v>
      </c>
      <c r="E10" s="118" t="s">
        <v>1</v>
      </c>
    </row>
    <row r="11" spans="2:5" ht="12.75">
      <c r="B11" s="119"/>
      <c r="C11" s="119"/>
      <c r="D11" s="120"/>
      <c r="E11" s="112"/>
    </row>
    <row r="12" spans="2:5" ht="12.75">
      <c r="B12" s="341" t="s">
        <v>90</v>
      </c>
      <c r="C12" s="342"/>
      <c r="D12" s="342"/>
      <c r="E12" s="165">
        <v>0.9996</v>
      </c>
    </row>
    <row r="13" spans="2:5" ht="12.75">
      <c r="B13" s="119"/>
      <c r="C13" s="119"/>
      <c r="D13" s="120"/>
      <c r="E13" s="112"/>
    </row>
    <row r="14" spans="2:5" ht="12.75" thickBot="1">
      <c r="B14" s="334" t="s">
        <v>5</v>
      </c>
      <c r="C14" s="335"/>
      <c r="D14" s="335"/>
      <c r="E14" s="336"/>
    </row>
    <row r="15" spans="2:5" ht="15" thickTop="1">
      <c r="B15" s="337" t="s">
        <v>22</v>
      </c>
      <c r="C15" s="338"/>
      <c r="D15" s="338"/>
      <c r="E15" s="123">
        <f>((D9^2-D10^2)/D9^2)</f>
        <v>0.006694380004260827</v>
      </c>
    </row>
    <row r="16" spans="2:6" ht="14.25">
      <c r="B16" s="121" t="s">
        <v>23</v>
      </c>
      <c r="C16" s="122"/>
      <c r="D16" s="122"/>
      <c r="E16" s="124">
        <f>(D9^2-D10^2)/D10^2</f>
        <v>0.006739496756586903</v>
      </c>
      <c r="F16" s="22"/>
    </row>
    <row r="17" spans="2:6" ht="12.75">
      <c r="B17" s="121" t="s">
        <v>24</v>
      </c>
      <c r="C17" s="122"/>
      <c r="D17" s="122"/>
      <c r="E17" s="125">
        <f>D9^2/D10</f>
        <v>6399593.625803977</v>
      </c>
      <c r="F17" s="4"/>
    </row>
    <row r="18" spans="2:6" ht="16.5">
      <c r="B18" s="328" t="s">
        <v>32</v>
      </c>
      <c r="C18" s="329"/>
      <c r="D18" s="126" t="s">
        <v>8</v>
      </c>
      <c r="E18" s="127">
        <f>E17/rho*(1-3/4*E16+45/64*E16^2-175/256*E16^3+11025/16384*E16^4)</f>
        <v>111132.95254855292</v>
      </c>
      <c r="F18" s="24"/>
    </row>
    <row r="19" spans="2:6" ht="16.5">
      <c r="B19" s="330"/>
      <c r="C19" s="331"/>
      <c r="D19" s="128" t="s">
        <v>33</v>
      </c>
      <c r="E19" s="127">
        <f>rho*(3/8*$E$16-3/16*$E$16^2+213/2048*$E$16^3)</f>
        <v>0.14431814024409773</v>
      </c>
      <c r="F19" s="25"/>
    </row>
    <row r="20" spans="2:6" ht="16.5">
      <c r="B20" s="330"/>
      <c r="C20" s="331"/>
      <c r="D20" s="129" t="s">
        <v>34</v>
      </c>
      <c r="E20" s="127">
        <f>rho*(21/256*$E$16^2-21/256*$E$16^3)</f>
        <v>0.00021204110819336998</v>
      </c>
      <c r="F20" s="19"/>
    </row>
    <row r="21" spans="2:6" ht="16.5">
      <c r="B21" s="332"/>
      <c r="C21" s="333"/>
      <c r="D21" s="130" t="s">
        <v>35</v>
      </c>
      <c r="E21" s="127">
        <f>rho*(151/6144*$E$16^3)</f>
        <v>4.310531058116669E-07</v>
      </c>
      <c r="F21" s="6"/>
    </row>
    <row r="22" spans="2:6" ht="12.75">
      <c r="B22" s="113"/>
      <c r="C22" s="113"/>
      <c r="D22" s="113"/>
      <c r="E22" s="113"/>
      <c r="F22" s="4"/>
    </row>
    <row r="23" spans="2:7" ht="12.75">
      <c r="B23" s="112"/>
      <c r="C23" s="112"/>
      <c r="D23" s="131"/>
      <c r="E23" s="112"/>
      <c r="F23" s="4"/>
      <c r="G23" s="4"/>
    </row>
    <row r="24" spans="2:7" ht="12.75">
      <c r="B24" s="341" t="s">
        <v>46</v>
      </c>
      <c r="C24" s="342"/>
      <c r="D24" s="359"/>
      <c r="E24" s="132">
        <f>(E2/E12)/E18</f>
        <v>52.43344657784017</v>
      </c>
      <c r="F24" s="4"/>
      <c r="G24" s="4"/>
    </row>
    <row r="25" spans="2:7" ht="12.75">
      <c r="B25" s="360" t="s">
        <v>47</v>
      </c>
      <c r="C25" s="360"/>
      <c r="D25" s="360"/>
      <c r="E25" s="132">
        <f>E24+E19*SIN((2*E24)/rho)+E20*SIN((4*E24)/rho)+E21*SIN((6*E24)/rho)</f>
        <v>52.57282812239285</v>
      </c>
      <c r="G25" s="4"/>
    </row>
    <row r="26" spans="2:5" ht="12.75">
      <c r="B26" s="133"/>
      <c r="C26" s="112"/>
      <c r="D26" s="113"/>
      <c r="E26" s="113"/>
    </row>
    <row r="27" spans="2:5" ht="12.75" thickBot="1">
      <c r="B27" s="334" t="s">
        <v>16</v>
      </c>
      <c r="C27" s="335"/>
      <c r="D27" s="335"/>
      <c r="E27" s="336"/>
    </row>
    <row r="28" spans="2:5" ht="12.75" thickTop="1">
      <c r="B28" s="337" t="s">
        <v>48</v>
      </c>
      <c r="C28" s="338"/>
      <c r="D28" s="134"/>
      <c r="E28" s="135">
        <f>E17/SQRT(1+E29)/100000</f>
        <v>63.91643143097947</v>
      </c>
    </row>
    <row r="29" spans="2:5" ht="15">
      <c r="B29" s="350" t="s">
        <v>31</v>
      </c>
      <c r="C29" s="351"/>
      <c r="D29" s="136"/>
      <c r="E29" s="118">
        <f>(E16*COS(E25/rho)^2)</f>
        <v>0.0024893215342335438</v>
      </c>
    </row>
    <row r="30" spans="2:5" ht="12.75">
      <c r="B30" s="113"/>
      <c r="C30" s="113"/>
      <c r="D30" s="113"/>
      <c r="E30" s="113"/>
    </row>
    <row r="31" spans="2:5" ht="12.75">
      <c r="B31" s="352" t="s">
        <v>37</v>
      </c>
      <c r="C31" s="352"/>
      <c r="D31" s="352"/>
      <c r="E31" s="137" t="s">
        <v>49</v>
      </c>
    </row>
    <row r="32" spans="2:5" ht="16.5">
      <c r="B32" s="132" t="s">
        <v>38</v>
      </c>
      <c r="C32" s="343">
        <f>-rho/(2*E12^2*E28^2)*TAN(E25/rho)*(1+E29)</f>
        <v>-0.009193010952119983</v>
      </c>
      <c r="D32" s="344"/>
      <c r="E32" s="138">
        <f>C4^2*C32</f>
        <v>-0.003425407141451917</v>
      </c>
    </row>
    <row r="33" spans="2:5" ht="16.5">
      <c r="B33" s="132" t="s">
        <v>39</v>
      </c>
      <c r="C33" s="343">
        <f>rho/(24*E12^4*E28^4)*TAN(E25/rho)*(5+3*TAN(E25/rho)^2+6*E29*(1-TAN(E25/rho)^2))</f>
        <v>1.8929356067309667E-06</v>
      </c>
      <c r="D33" s="344"/>
      <c r="E33" s="139">
        <f>C4^4*C33</f>
        <v>2.6281169253787297E-07</v>
      </c>
    </row>
    <row r="34" spans="2:5" ht="17.25" thickBot="1">
      <c r="B34" s="132" t="s">
        <v>40</v>
      </c>
      <c r="C34" s="345">
        <f>-rho/(720*E12^6*E28^6)*TAN(E25/rho)*(61+90*TAN(E25/rho)^2+45*TAN(E25/rho)^4)</f>
        <v>-5.286858833989534E-10</v>
      </c>
      <c r="D34" s="346"/>
      <c r="E34" s="140">
        <f>C4^6*C34</f>
        <v>-2.7350229711448485E-11</v>
      </c>
    </row>
    <row r="35" spans="2:5" ht="13.5" thickTop="1">
      <c r="B35" s="347" t="s">
        <v>50</v>
      </c>
      <c r="C35" s="348"/>
      <c r="D35" s="349"/>
      <c r="E35" s="142">
        <f>SUM(E32:E34)</f>
        <v>-0.003425144357109609</v>
      </c>
    </row>
    <row r="36" spans="2:5" ht="12.75">
      <c r="B36" s="143"/>
      <c r="C36" s="144"/>
      <c r="D36" s="141" t="s">
        <v>14</v>
      </c>
      <c r="E36" s="145">
        <f>E25+E35</f>
        <v>52.56940297803574</v>
      </c>
    </row>
    <row r="37" spans="2:5" ht="12.75">
      <c r="B37" s="113"/>
      <c r="C37" s="113"/>
      <c r="D37" s="113"/>
      <c r="E37" s="113"/>
    </row>
    <row r="38" spans="2:5" ht="12.75">
      <c r="B38" s="352" t="s">
        <v>41</v>
      </c>
      <c r="C38" s="352"/>
      <c r="D38" s="352"/>
      <c r="E38" s="137" t="s">
        <v>51</v>
      </c>
    </row>
    <row r="39" spans="2:5" ht="16.5">
      <c r="B39" s="132" t="s">
        <v>42</v>
      </c>
      <c r="C39" s="361">
        <f>rho/(E12*E28*COS(E25/rho))</f>
        <v>1.475560774648812</v>
      </c>
      <c r="D39" s="362"/>
      <c r="E39" s="138">
        <f>C39*C4</f>
        <v>-0.9007086060942467</v>
      </c>
    </row>
    <row r="40" spans="2:5" ht="16.5">
      <c r="B40" s="132" t="s">
        <v>43</v>
      </c>
      <c r="C40" s="345">
        <f>-rho/(6*E12^3*E28^3*COS(E25/rho))*(1+2*TAN(E25/rho)^2+E29)</f>
        <v>-0.0002661196028558792</v>
      </c>
      <c r="D40" s="346"/>
      <c r="E40" s="138">
        <f>C4^3*C40</f>
        <v>6.052830308734754E-05</v>
      </c>
    </row>
    <row r="41" spans="2:5" ht="17.25" thickBot="1">
      <c r="B41" s="132" t="s">
        <v>44</v>
      </c>
      <c r="C41" s="345">
        <f>rho/(120*E12^5*E28^5*COS(E25/rho))*(5+28*TAN(E25/rho)^2+24*TAN(E25/rho)^4)</f>
        <v>9.059556531675468E-08</v>
      </c>
      <c r="D41" s="346"/>
      <c r="E41" s="146">
        <f>C4^5*C41</f>
        <v>-7.677909568361068E-09</v>
      </c>
    </row>
    <row r="42" spans="2:5" ht="13.5" thickTop="1">
      <c r="B42" s="347" t="s">
        <v>4</v>
      </c>
      <c r="C42" s="348"/>
      <c r="D42" s="349"/>
      <c r="E42" s="147">
        <f>SUM(E39:E41)</f>
        <v>-0.9006480854690689</v>
      </c>
    </row>
    <row r="43" spans="2:5" ht="12.75">
      <c r="B43" s="113"/>
      <c r="C43" s="113"/>
      <c r="D43" s="141" t="s">
        <v>15</v>
      </c>
      <c r="E43" s="148">
        <f>D6+E42</f>
        <v>8.099351914530931</v>
      </c>
    </row>
    <row r="44" spans="2:5" ht="13.5" thickBot="1">
      <c r="B44" s="113"/>
      <c r="C44" s="113"/>
      <c r="D44" s="143"/>
      <c r="E44" s="149"/>
    </row>
    <row r="45" spans="2:5" ht="15.75" thickBot="1">
      <c r="B45" s="353" t="s">
        <v>109</v>
      </c>
      <c r="C45" s="354"/>
      <c r="D45" s="354"/>
      <c r="E45" s="355"/>
    </row>
    <row r="46" spans="2:5" ht="15.75" thickTop="1">
      <c r="B46" s="150"/>
      <c r="C46" s="151" t="s">
        <v>52</v>
      </c>
      <c r="D46" s="151" t="s">
        <v>53</v>
      </c>
      <c r="E46" s="152" t="s">
        <v>54</v>
      </c>
    </row>
    <row r="47" spans="2:5" ht="15">
      <c r="B47" s="153" t="s">
        <v>15</v>
      </c>
      <c r="C47" s="154">
        <f>E43-MOD(E43,1)</f>
        <v>8</v>
      </c>
      <c r="D47" s="155">
        <f>(E43-C47)*60-MOD((E43-C47)*60,1)</f>
        <v>5</v>
      </c>
      <c r="E47" s="156">
        <f>(E43-C47-D47/60)*3600</f>
        <v>57.66689231135304</v>
      </c>
    </row>
    <row r="48" spans="2:5" ht="15.75" thickBot="1">
      <c r="B48" s="157" t="s">
        <v>14</v>
      </c>
      <c r="C48" s="158">
        <f>E36-MOD(E36,1)</f>
        <v>52</v>
      </c>
      <c r="D48" s="159">
        <f>(E36-C48)*60-MOD((E36-C48)*60,1)</f>
        <v>34</v>
      </c>
      <c r="E48" s="160">
        <f>(E36-C48-D48/60)*3600</f>
        <v>9.850720928662948</v>
      </c>
    </row>
  </sheetData>
  <sheetProtection password="C044" sheet="1" objects="1" scenarios="1"/>
  <mergeCells count="26">
    <mergeCell ref="B45:E45"/>
    <mergeCell ref="B42:D42"/>
    <mergeCell ref="B1:E1"/>
    <mergeCell ref="B24:D24"/>
    <mergeCell ref="B25:D25"/>
    <mergeCell ref="C41:D41"/>
    <mergeCell ref="C40:D40"/>
    <mergeCell ref="C39:D39"/>
    <mergeCell ref="B38:D38"/>
    <mergeCell ref="C32:D32"/>
    <mergeCell ref="C33:D33"/>
    <mergeCell ref="C34:D34"/>
    <mergeCell ref="B35:D35"/>
    <mergeCell ref="B27:E27"/>
    <mergeCell ref="B28:C28"/>
    <mergeCell ref="B29:C29"/>
    <mergeCell ref="B31:D31"/>
    <mergeCell ref="D3:D4"/>
    <mergeCell ref="E3:E4"/>
    <mergeCell ref="B18:C21"/>
    <mergeCell ref="B8:E8"/>
    <mergeCell ref="B9:C9"/>
    <mergeCell ref="B10:C10"/>
    <mergeCell ref="B14:E14"/>
    <mergeCell ref="B12:D12"/>
    <mergeCell ref="B15:D1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&amp;CBerechnung ellipsoidischer Koordinaten aus GK Koordinaten (Bessel Ellipsoid)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65"/>
  <sheetViews>
    <sheetView zoomScalePageLayoutView="0" workbookViewId="0" topLeftCell="A13">
      <selection activeCell="F27" sqref="F27"/>
    </sheetView>
  </sheetViews>
  <sheetFormatPr defaultColWidth="11.421875" defaultRowHeight="12.75"/>
  <cols>
    <col min="1" max="1" width="3.00390625" style="0" customWidth="1"/>
    <col min="2" max="2" width="13.140625" style="0" customWidth="1"/>
    <col min="3" max="3" width="12.8515625" style="0" customWidth="1"/>
    <col min="4" max="4" width="17.7109375" style="0" customWidth="1"/>
    <col min="5" max="5" width="16.140625" style="0" customWidth="1"/>
    <col min="7" max="7" width="4.8515625" style="0" customWidth="1"/>
    <col min="9" max="9" width="12.57421875" style="0" bestFit="1" customWidth="1"/>
  </cols>
  <sheetData>
    <row r="1" ht="12.75" thickBot="1"/>
    <row r="2" spans="2:5" ht="12.75">
      <c r="B2" s="391" t="s">
        <v>91</v>
      </c>
      <c r="C2" s="55" t="s">
        <v>57</v>
      </c>
      <c r="D2" s="56">
        <f>'UP UTM=&gt;ellip '!E43</f>
        <v>8.099351914530931</v>
      </c>
      <c r="E2" s="57" t="s">
        <v>12</v>
      </c>
    </row>
    <row r="3" spans="2:5" ht="12.75">
      <c r="B3" s="392"/>
      <c r="C3" s="58" t="s">
        <v>58</v>
      </c>
      <c r="D3" s="59">
        <f>'UP UTM=&gt;ellip '!E36</f>
        <v>52.56940297803574</v>
      </c>
      <c r="E3" s="60" t="s">
        <v>12</v>
      </c>
    </row>
    <row r="4" spans="2:5" ht="13.5" thickBot="1">
      <c r="B4" s="393"/>
      <c r="C4" s="61" t="s">
        <v>56</v>
      </c>
      <c r="D4" s="62">
        <f>'UP UTM=&gt;ellip '!E3</f>
        <v>200</v>
      </c>
      <c r="E4" s="63" t="s">
        <v>1</v>
      </c>
    </row>
    <row r="5" spans="2:5" ht="12.75" thickBot="1">
      <c r="B5" s="52"/>
      <c r="C5" s="4"/>
      <c r="D5" s="54"/>
      <c r="E5" s="4"/>
    </row>
    <row r="6" spans="2:5" ht="12.75" thickBot="1">
      <c r="B6" s="363" t="s">
        <v>89</v>
      </c>
      <c r="C6" s="364"/>
      <c r="D6" s="364"/>
      <c r="E6" s="365"/>
    </row>
    <row r="7" spans="2:5" ht="12.75" thickTop="1">
      <c r="B7" s="366" t="s">
        <v>0</v>
      </c>
      <c r="C7" s="367"/>
      <c r="D7" s="167">
        <f>'UP UTM=&gt;ellip '!D9</f>
        <v>6378137</v>
      </c>
      <c r="E7" s="168" t="s">
        <v>1</v>
      </c>
    </row>
    <row r="8" spans="2:5" ht="12.75">
      <c r="B8" s="368" t="s">
        <v>2</v>
      </c>
      <c r="C8" s="369"/>
      <c r="D8" s="166">
        <f>'UP UTM=&gt;ellip '!D10</f>
        <v>6356752.3142</v>
      </c>
      <c r="E8" s="47" t="s">
        <v>1</v>
      </c>
    </row>
    <row r="9" spans="2:5" ht="12.75" thickBot="1">
      <c r="B9" s="376" t="s">
        <v>5</v>
      </c>
      <c r="C9" s="377"/>
      <c r="D9" s="377"/>
      <c r="E9" s="378"/>
    </row>
    <row r="10" spans="2:5" ht="15" thickTop="1">
      <c r="B10" s="372" t="s">
        <v>22</v>
      </c>
      <c r="C10" s="373"/>
      <c r="D10" s="373"/>
      <c r="E10" s="39">
        <f>((D7^2-D8^2)/D7^2)</f>
        <v>0.006694380004260827</v>
      </c>
    </row>
    <row r="11" spans="2:5" ht="14.25">
      <c r="B11" s="379" t="s">
        <v>23</v>
      </c>
      <c r="C11" s="380"/>
      <c r="D11" s="380"/>
      <c r="E11" s="40">
        <f>(D7^2-D8^2)/D8^2</f>
        <v>0.006739496756586903</v>
      </c>
    </row>
    <row r="12" spans="2:5" ht="12.75" thickBot="1">
      <c r="B12" s="370" t="s">
        <v>24</v>
      </c>
      <c r="C12" s="371"/>
      <c r="D12" s="371"/>
      <c r="E12" s="41">
        <f>D7^2/D8</f>
        <v>6399593.625803977</v>
      </c>
    </row>
    <row r="13" spans="2:5" ht="12.75">
      <c r="B13" s="2"/>
      <c r="C13" s="2"/>
      <c r="D13" s="2"/>
      <c r="E13" s="3"/>
    </row>
    <row r="14" spans="2:5" ht="12.75">
      <c r="B14" s="390" t="s">
        <v>59</v>
      </c>
      <c r="C14" s="390"/>
      <c r="D14" t="s">
        <v>71</v>
      </c>
      <c r="E14" s="42">
        <f>D7/(SQRT(1-E10*SIN(D3/rho)^2))</f>
        <v>6391641.903331646</v>
      </c>
    </row>
    <row r="15" ht="12.75" thickBot="1">
      <c r="E15" s="42"/>
    </row>
    <row r="16" spans="2:4" ht="12.75">
      <c r="B16" s="384" t="s">
        <v>92</v>
      </c>
      <c r="C16" s="173" t="s">
        <v>83</v>
      </c>
      <c r="D16" s="170">
        <f>(E14+D4)*COS(D3/rho)*COS(D2/rho)</f>
        <v>3846209.9022880057</v>
      </c>
    </row>
    <row r="17" spans="2:4" ht="12.75">
      <c r="B17" s="385"/>
      <c r="C17" s="53" t="s">
        <v>36</v>
      </c>
      <c r="D17" s="171">
        <f>(E14+D4)*COS(D3/rho)*SIN(D2/rho)</f>
        <v>547352.3441844024</v>
      </c>
    </row>
    <row r="18" spans="2:4" ht="12.75" thickBot="1">
      <c r="B18" s="386"/>
      <c r="C18" s="174" t="s">
        <v>84</v>
      </c>
      <c r="D18" s="172">
        <f>(E14*(1-E10)+D4)*SIN(D3/rho)</f>
        <v>5041721.148680025</v>
      </c>
    </row>
    <row r="19" spans="2:5" ht="12.75" thickBot="1">
      <c r="B19" s="2"/>
      <c r="C19" s="2"/>
      <c r="D19" s="2"/>
      <c r="E19" s="3"/>
    </row>
    <row r="20" spans="2:7" ht="12.75" thickBot="1">
      <c r="B20" s="363" t="s">
        <v>110</v>
      </c>
      <c r="C20" s="364"/>
      <c r="D20" s="364"/>
      <c r="E20" s="364"/>
      <c r="F20" s="364"/>
      <c r="G20" s="365"/>
    </row>
    <row r="21" spans="2:7" ht="13.5" thickTop="1">
      <c r="B21" s="381" t="s">
        <v>62</v>
      </c>
      <c r="C21" s="45" t="s">
        <v>68</v>
      </c>
      <c r="D21" s="46">
        <f>'UTM(ETRS) =&gt;GK(DHDN)'!D30</f>
        <v>-590.5</v>
      </c>
      <c r="E21" s="46" t="s">
        <v>1</v>
      </c>
      <c r="F21" s="4"/>
      <c r="G21" s="43"/>
    </row>
    <row r="22" spans="2:7" ht="12.75">
      <c r="B22" s="382"/>
      <c r="C22" s="44" t="s">
        <v>69</v>
      </c>
      <c r="D22" s="46">
        <f>'UTM(ETRS) =&gt;GK(DHDN)'!D31</f>
        <v>-69.5</v>
      </c>
      <c r="E22" s="13" t="s">
        <v>1</v>
      </c>
      <c r="F22" s="4"/>
      <c r="G22" s="43"/>
    </row>
    <row r="23" spans="2:7" ht="12.75">
      <c r="B23" s="382"/>
      <c r="C23" s="44" t="s">
        <v>70</v>
      </c>
      <c r="D23" s="46">
        <f>'UTM(ETRS) =&gt;GK(DHDN)'!D32</f>
        <v>-411.6</v>
      </c>
      <c r="E23" s="13" t="s">
        <v>1</v>
      </c>
      <c r="F23" s="4"/>
      <c r="G23" s="43"/>
    </row>
    <row r="24" spans="2:7" ht="12.75">
      <c r="B24" s="379" t="s">
        <v>64</v>
      </c>
      <c r="C24" s="394"/>
      <c r="D24" s="46">
        <f>'UTM(ETRS) =&gt;GK(DHDN)'!D33/10^6+1</f>
        <v>0.9999917</v>
      </c>
      <c r="E24" s="13"/>
      <c r="F24" s="4"/>
      <c r="G24" s="43"/>
    </row>
    <row r="25" spans="2:7" ht="16.5">
      <c r="B25" s="382" t="s">
        <v>63</v>
      </c>
      <c r="C25" s="44" t="s">
        <v>65</v>
      </c>
      <c r="D25" s="46">
        <f>'UTM(ETRS) =&gt;GK(DHDN)'!D34</f>
        <v>-0.796</v>
      </c>
      <c r="E25" s="13" t="s">
        <v>13</v>
      </c>
      <c r="F25" s="13">
        <f>D25/(3600*rho)</f>
        <v>-3.859116901631906E-06</v>
      </c>
      <c r="G25" s="47" t="s">
        <v>55</v>
      </c>
    </row>
    <row r="26" spans="2:7" ht="16.5">
      <c r="B26" s="382"/>
      <c r="C26" s="44" t="s">
        <v>66</v>
      </c>
      <c r="D26" s="46">
        <f>'UTM(ETRS) =&gt;GK(DHDN)'!D35</f>
        <v>-0.052</v>
      </c>
      <c r="E26" s="13" t="s">
        <v>13</v>
      </c>
      <c r="F26" s="13">
        <f>D26/(3600*rho)</f>
        <v>-2.521031141769587E-07</v>
      </c>
      <c r="G26" s="47" t="s">
        <v>55</v>
      </c>
    </row>
    <row r="27" spans="2:7" ht="17.25" thickBot="1">
      <c r="B27" s="383"/>
      <c r="C27" s="48" t="s">
        <v>67</v>
      </c>
      <c r="D27" s="49">
        <f>'UTM(ETRS) =&gt;GK(DHDN)'!D36</f>
        <v>-3.601</v>
      </c>
      <c r="E27" s="49" t="s">
        <v>13</v>
      </c>
      <c r="F27" s="49">
        <f>D27/(3600*rho)</f>
        <v>-1.745814065675439E-05</v>
      </c>
      <c r="G27" s="50" t="s">
        <v>55</v>
      </c>
    </row>
    <row r="29" ht="12.75" thickBot="1"/>
    <row r="30" spans="2:4" ht="12.75">
      <c r="B30" s="384" t="s">
        <v>111</v>
      </c>
      <c r="C30" s="51" t="s">
        <v>83</v>
      </c>
      <c r="D30" s="170">
        <f>D21+D24*(1*D16+F27*D17-F26*D18)</f>
        <v>3845579.1940939687</v>
      </c>
    </row>
    <row r="31" spans="2:4" ht="12.75">
      <c r="B31" s="385"/>
      <c r="C31" s="13" t="s">
        <v>36</v>
      </c>
      <c r="D31" s="171">
        <f>D22+D24*(-F27*D16+1*D17+F25*D18)</f>
        <v>547325.991846281</v>
      </c>
    </row>
    <row r="32" spans="2:4" ht="12.75" thickBot="1">
      <c r="B32" s="386"/>
      <c r="C32" s="49" t="s">
        <v>84</v>
      </c>
      <c r="D32" s="172">
        <f>D23+D24*(+F26*D16-F25*D17+1*D18)</f>
        <v>5041268.845040196</v>
      </c>
    </row>
    <row r="33" ht="12.75" thickBot="1"/>
    <row r="34" spans="2:5" ht="12.75" thickBot="1">
      <c r="B34" s="363" t="s">
        <v>93</v>
      </c>
      <c r="C34" s="364"/>
      <c r="D34" s="364"/>
      <c r="E34" s="365"/>
    </row>
    <row r="35" spans="2:5" ht="12.75" thickTop="1">
      <c r="B35" s="372" t="s">
        <v>0</v>
      </c>
      <c r="C35" s="373"/>
      <c r="D35" s="36">
        <v>6377397.155</v>
      </c>
      <c r="E35" s="37" t="s">
        <v>1</v>
      </c>
    </row>
    <row r="36" spans="2:5" ht="12.75">
      <c r="B36" s="374" t="s">
        <v>2</v>
      </c>
      <c r="C36" s="375"/>
      <c r="D36" s="35">
        <v>6356078.963</v>
      </c>
      <c r="E36" s="38" t="s">
        <v>1</v>
      </c>
    </row>
    <row r="37" spans="2:5" ht="12.75" thickBot="1">
      <c r="B37" s="376" t="s">
        <v>5</v>
      </c>
      <c r="C37" s="377"/>
      <c r="D37" s="377"/>
      <c r="E37" s="378"/>
    </row>
    <row r="38" spans="2:5" ht="15" thickTop="1">
      <c r="B38" s="372" t="s">
        <v>22</v>
      </c>
      <c r="C38" s="373"/>
      <c r="D38" s="373"/>
      <c r="E38" s="39">
        <f>((D35^2-D36^2)/D35^2)</f>
        <v>0.006674372174974933</v>
      </c>
    </row>
    <row r="39" spans="2:5" ht="14.25">
      <c r="B39" s="379" t="s">
        <v>23</v>
      </c>
      <c r="C39" s="380"/>
      <c r="D39" s="380"/>
      <c r="E39" s="40">
        <f>(D35^2-D36^2)/D36^2</f>
        <v>0.006719218741581313</v>
      </c>
    </row>
    <row r="40" spans="2:5" ht="12.75" thickBot="1">
      <c r="B40" s="370" t="s">
        <v>24</v>
      </c>
      <c r="C40" s="371"/>
      <c r="D40" s="371"/>
      <c r="E40" s="41">
        <f>D35^2/D36</f>
        <v>6398786.847891161</v>
      </c>
    </row>
    <row r="42" spans="2:5" ht="12.75">
      <c r="B42" s="75" t="s">
        <v>60</v>
      </c>
      <c r="C42">
        <f>SQRT(D30^2+D31^2)</f>
        <v>3884333.2863438656</v>
      </c>
      <c r="D42" s="75" t="s">
        <v>61</v>
      </c>
      <c r="E42">
        <f>ATAN((D32*D35)/(C42*D36))</f>
        <v>0.9159175207733821</v>
      </c>
    </row>
    <row r="43" spans="2:5" ht="12.75">
      <c r="B43" s="390" t="s">
        <v>59</v>
      </c>
      <c r="C43" s="390"/>
      <c r="D43" t="s">
        <v>71</v>
      </c>
      <c r="E43" s="42">
        <f>D35/SQRT(1-E38*SIN(D45/rho)^2)</f>
        <v>6390860.523516236</v>
      </c>
    </row>
    <row r="44" ht="12.75" thickBot="1"/>
    <row r="45" spans="2:5" ht="12.75">
      <c r="B45" s="387" t="s">
        <v>112</v>
      </c>
      <c r="C45" s="55" t="s">
        <v>58</v>
      </c>
      <c r="D45" s="56">
        <f>ATAN((D32+E39*D36*SIN(E42)^3)/(C42-E38*D35*COS(E42)^3))*rho</f>
        <v>52.570837710323374</v>
      </c>
      <c r="E45" s="57" t="s">
        <v>12</v>
      </c>
    </row>
    <row r="46" spans="2:5" ht="12.75">
      <c r="B46" s="388"/>
      <c r="C46" s="58" t="s">
        <v>57</v>
      </c>
      <c r="D46" s="59">
        <f>ATAN(D31/D30)*rho</f>
        <v>8.10027781716789</v>
      </c>
      <c r="E46" s="60" t="s">
        <v>12</v>
      </c>
    </row>
    <row r="47" spans="2:5" ht="13.5" thickBot="1">
      <c r="B47" s="389"/>
      <c r="C47" s="61" t="s">
        <v>56</v>
      </c>
      <c r="D47" s="62">
        <f>C42/COS(D45/rho)-E43</f>
        <v>157.02158821187913</v>
      </c>
      <c r="E47" s="63" t="s">
        <v>1</v>
      </c>
    </row>
    <row r="49" spans="2:5" ht="12.75">
      <c r="B49" s="13"/>
      <c r="C49" s="71" t="s">
        <v>52</v>
      </c>
      <c r="D49" s="64" t="s">
        <v>80</v>
      </c>
      <c r="E49" s="71" t="s">
        <v>81</v>
      </c>
    </row>
    <row r="50" spans="2:5" ht="12.75">
      <c r="B50" s="70" t="s">
        <v>58</v>
      </c>
      <c r="C50" s="72">
        <f>D45-MOD(D45,1)</f>
        <v>52</v>
      </c>
      <c r="D50" s="53">
        <f>(D45-C50)*60-MOD((D45-C50)*60,1)</f>
        <v>34</v>
      </c>
      <c r="E50" s="73">
        <f>(D45-C50)*3600-D50*60</f>
        <v>15.015757164147544</v>
      </c>
    </row>
    <row r="51" spans="2:5" ht="12.75">
      <c r="B51" s="70" t="s">
        <v>57</v>
      </c>
      <c r="C51" s="72">
        <f>D46-MOD(D46,1)</f>
        <v>8</v>
      </c>
      <c r="D51" s="53">
        <f>(D46-C51)*60-MOD((D46-C51)*60,1)</f>
        <v>6</v>
      </c>
      <c r="E51" s="73">
        <f>(D46-C51)*3600-D51*60</f>
        <v>1.0001418044071215</v>
      </c>
    </row>
    <row r="52" spans="2:5" ht="12.75">
      <c r="B52" s="76" t="s">
        <v>56</v>
      </c>
      <c r="C52" s="8"/>
      <c r="D52" s="8"/>
      <c r="E52" s="77">
        <f>D47</f>
        <v>157.02158821187913</v>
      </c>
    </row>
    <row r="55" spans="2:5" ht="12.75">
      <c r="B55" s="69"/>
      <c r="E55" s="69"/>
    </row>
    <row r="56" ht="12.75">
      <c r="F56" s="42"/>
    </row>
    <row r="62" spans="2:5" ht="12.75">
      <c r="B62" s="4"/>
      <c r="E62" s="4"/>
    </row>
    <row r="63" spans="2:5" ht="12.75">
      <c r="B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</sheetData>
  <sheetProtection password="C16A" sheet="1" objects="1" scenarios="1"/>
  <mergeCells count="24">
    <mergeCell ref="B2:B4"/>
    <mergeCell ref="B20:G20"/>
    <mergeCell ref="B24:C24"/>
    <mergeCell ref="B16:B18"/>
    <mergeCell ref="B14:C14"/>
    <mergeCell ref="B37:E37"/>
    <mergeCell ref="B12:D12"/>
    <mergeCell ref="B21:B23"/>
    <mergeCell ref="B25:B27"/>
    <mergeCell ref="B30:B32"/>
    <mergeCell ref="B45:B47"/>
    <mergeCell ref="B43:C43"/>
    <mergeCell ref="B38:D38"/>
    <mergeCell ref="B39:D39"/>
    <mergeCell ref="B6:E6"/>
    <mergeCell ref="B7:C7"/>
    <mergeCell ref="B8:C8"/>
    <mergeCell ref="B34:E34"/>
    <mergeCell ref="B40:D40"/>
    <mergeCell ref="B35:C35"/>
    <mergeCell ref="B36:C36"/>
    <mergeCell ref="B9:E9"/>
    <mergeCell ref="B10:D10"/>
    <mergeCell ref="B11:D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&amp;CDatumstransformation: Vom Datum Rauenberg  in das  ETRS89 Datun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49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.57421875" style="0" customWidth="1"/>
    <col min="2" max="2" width="15.28125" style="0" customWidth="1"/>
    <col min="3" max="3" width="16.00390625" style="0" customWidth="1"/>
    <col min="4" max="4" width="13.7109375" style="0" customWidth="1"/>
    <col min="5" max="5" width="16.7109375" style="0" customWidth="1"/>
    <col min="6" max="6" width="12.57421875" style="0" customWidth="1"/>
    <col min="7" max="7" width="9.421875" style="0" customWidth="1"/>
  </cols>
  <sheetData>
    <row r="1" spans="2:7" ht="12.75" thickBot="1">
      <c r="B1" s="4"/>
      <c r="C1" s="4"/>
      <c r="D1" s="4"/>
      <c r="E1" s="4"/>
      <c r="F1" s="4"/>
      <c r="G1" s="23">
        <f>180/PI()</f>
        <v>57.29577951308232</v>
      </c>
    </row>
    <row r="2" spans="2:7" ht="13.5" thickBot="1">
      <c r="B2" s="395" t="s">
        <v>113</v>
      </c>
      <c r="C2" s="396"/>
      <c r="D2" s="397"/>
      <c r="E2" s="82"/>
      <c r="F2" s="82"/>
      <c r="G2" s="82"/>
    </row>
    <row r="3" spans="2:4" ht="13.5" thickTop="1">
      <c r="B3" s="89" t="s">
        <v>58</v>
      </c>
      <c r="C3" s="90">
        <f>'UP Dat-Trans '!D45</f>
        <v>52.570837710323374</v>
      </c>
      <c r="D3" s="91" t="s">
        <v>12</v>
      </c>
    </row>
    <row r="4" spans="2:7" ht="12.75">
      <c r="B4" s="84" t="s">
        <v>57</v>
      </c>
      <c r="C4" s="83">
        <f>'UP Dat-Trans '!D46</f>
        <v>8.10027781716789</v>
      </c>
      <c r="D4" s="85" t="s">
        <v>12</v>
      </c>
      <c r="G4" s="79"/>
    </row>
    <row r="5" spans="2:7" ht="13.5" thickBot="1">
      <c r="B5" s="86" t="s">
        <v>56</v>
      </c>
      <c r="C5" s="87">
        <f>'UP Dat-Trans '!E52</f>
        <v>157.02158821187913</v>
      </c>
      <c r="D5" s="88" t="s">
        <v>1</v>
      </c>
      <c r="E5" s="78"/>
      <c r="F5" s="80"/>
      <c r="G5" s="79"/>
    </row>
    <row r="6" spans="2:7" ht="12.75">
      <c r="B6" s="78"/>
      <c r="C6" s="81"/>
      <c r="D6" s="79"/>
      <c r="E6" s="78"/>
      <c r="F6" s="80"/>
      <c r="G6" s="79"/>
    </row>
    <row r="7" spans="2:7" ht="12.75">
      <c r="B7" s="398" t="s">
        <v>94</v>
      </c>
      <c r="C7" s="398"/>
      <c r="D7" s="92">
        <f>'UTM(ETRS) =&gt;GK(DHDN)'!N13</f>
        <v>9</v>
      </c>
      <c r="E7" s="93" t="s">
        <v>12</v>
      </c>
      <c r="F7" s="19"/>
      <c r="G7" s="4"/>
    </row>
    <row r="8" spans="2:7" ht="12.75">
      <c r="B8" s="399" t="s">
        <v>4</v>
      </c>
      <c r="C8" s="399"/>
      <c r="D8" s="94">
        <f>C4-D7</f>
        <v>-0.8997221828321091</v>
      </c>
      <c r="E8" s="95" t="s">
        <v>12</v>
      </c>
      <c r="F8" s="4"/>
      <c r="G8" s="4"/>
    </row>
    <row r="9" spans="2:7" ht="12.75">
      <c r="B9" s="400"/>
      <c r="C9" s="400"/>
      <c r="D9" s="175"/>
      <c r="E9" s="176"/>
      <c r="F9" s="4"/>
      <c r="G9" s="4"/>
    </row>
    <row r="10" spans="2:7" ht="12.75">
      <c r="B10" s="4"/>
      <c r="C10" s="4"/>
      <c r="D10" s="22"/>
      <c r="E10" s="4"/>
      <c r="F10" s="4"/>
      <c r="G10" s="4"/>
    </row>
    <row r="11" spans="2:5" ht="12.75" thickBot="1">
      <c r="B11" s="402" t="s">
        <v>98</v>
      </c>
      <c r="C11" s="377"/>
      <c r="D11" s="377"/>
      <c r="E11" s="411"/>
    </row>
    <row r="12" spans="2:5" ht="12.75" thickTop="1">
      <c r="B12" s="401" t="s">
        <v>0</v>
      </c>
      <c r="C12" s="373"/>
      <c r="D12" s="36">
        <v>6377397.155</v>
      </c>
      <c r="E12" s="28" t="s">
        <v>1</v>
      </c>
    </row>
    <row r="13" spans="2:5" ht="12.75">
      <c r="B13" s="412" t="s">
        <v>2</v>
      </c>
      <c r="C13" s="375"/>
      <c r="D13" s="35">
        <v>6356078.963</v>
      </c>
      <c r="E13" s="27" t="s">
        <v>1</v>
      </c>
    </row>
    <row r="14" spans="2:5" ht="12.75">
      <c r="B14" s="2"/>
      <c r="C14" s="2"/>
      <c r="D14" s="3"/>
      <c r="E14" s="4"/>
    </row>
    <row r="15" spans="2:5" ht="12.75">
      <c r="B15" s="404" t="s">
        <v>90</v>
      </c>
      <c r="C15" s="380"/>
      <c r="D15" s="380"/>
      <c r="E15" s="177">
        <v>1</v>
      </c>
    </row>
    <row r="16" spans="2:5" ht="12.75">
      <c r="B16" s="2"/>
      <c r="C16" s="2"/>
      <c r="D16" s="3"/>
      <c r="E16" s="4"/>
    </row>
    <row r="17" spans="2:5" ht="12.75" thickBot="1">
      <c r="B17" s="402" t="s">
        <v>5</v>
      </c>
      <c r="C17" s="377"/>
      <c r="D17" s="377"/>
      <c r="E17" s="403"/>
    </row>
    <row r="18" spans="2:5" ht="15" thickTop="1">
      <c r="B18" s="401" t="s">
        <v>22</v>
      </c>
      <c r="C18" s="373"/>
      <c r="D18" s="373"/>
      <c r="E18" s="30">
        <f>((D12^2-D13^2)/D12^2)</f>
        <v>0.006674372174974933</v>
      </c>
    </row>
    <row r="19" spans="2:5" ht="14.25">
      <c r="B19" s="404" t="s">
        <v>23</v>
      </c>
      <c r="C19" s="380"/>
      <c r="D19" s="380"/>
      <c r="E19" s="31">
        <f>(D12^2-D13^2)/D13^2</f>
        <v>0.006719218741581313</v>
      </c>
    </row>
    <row r="20" spans="2:5" ht="12.75">
      <c r="B20" s="404" t="s">
        <v>24</v>
      </c>
      <c r="C20" s="380"/>
      <c r="D20" s="380"/>
      <c r="E20" s="32">
        <f>D12^2/D13</f>
        <v>6398786.847891161</v>
      </c>
    </row>
    <row r="21" spans="2:5" ht="16.5">
      <c r="B21" s="405" t="s">
        <v>25</v>
      </c>
      <c r="C21" s="406"/>
      <c r="D21" s="10" t="s">
        <v>8</v>
      </c>
      <c r="E21" s="33">
        <f>E20/rho*(1-3/4*E19+45/64*E19^2-175/256*E19^3+11025/16384*E19^4)</f>
        <v>111120.61960740325</v>
      </c>
    </row>
    <row r="22" spans="2:5" ht="16.5">
      <c r="B22" s="407"/>
      <c r="C22" s="408"/>
      <c r="D22" s="11" t="s">
        <v>9</v>
      </c>
      <c r="E22" s="33">
        <f>E20*(-3/8*E19+15/32*E19^2-525/1024*E19^3+2205/4096*E19^4)</f>
        <v>-15988.638349866078</v>
      </c>
    </row>
    <row r="23" spans="2:5" ht="16.5">
      <c r="B23" s="407"/>
      <c r="C23" s="408"/>
      <c r="D23" s="11" t="s">
        <v>10</v>
      </c>
      <c r="E23" s="33">
        <f>E20*(15/256*E19^2-105/1024*E19^3+2205/16384*E19^4)</f>
        <v>16.729967415603603</v>
      </c>
    </row>
    <row r="24" spans="2:5" ht="16.5">
      <c r="B24" s="409"/>
      <c r="C24" s="410"/>
      <c r="D24" s="34" t="s">
        <v>11</v>
      </c>
      <c r="E24" s="32">
        <f>E20*(-35/3072*E19^3+315/12288*E19^4)</f>
        <v>-0.021781355771424236</v>
      </c>
    </row>
    <row r="25" spans="2:5" ht="12.75">
      <c r="B25" s="5"/>
      <c r="C25" s="4"/>
      <c r="D25" s="4"/>
      <c r="E25" s="3"/>
    </row>
    <row r="26" ht="12.75">
      <c r="C26" s="4"/>
    </row>
    <row r="27" spans="2:5" ht="12.75" thickBot="1">
      <c r="B27" s="402" t="s">
        <v>16</v>
      </c>
      <c r="C27" s="377"/>
      <c r="D27" s="377"/>
      <c r="E27" s="403"/>
    </row>
    <row r="28" spans="2:5" ht="12.75" thickTop="1">
      <c r="B28" s="401" t="s">
        <v>26</v>
      </c>
      <c r="C28" s="373"/>
      <c r="D28" s="9"/>
      <c r="E28" s="26">
        <f>E20/SQRT(1+E30)</f>
        <v>6390860.523516235</v>
      </c>
    </row>
    <row r="29" spans="2:5" ht="12.75">
      <c r="B29" s="404" t="s">
        <v>27</v>
      </c>
      <c r="C29" s="380"/>
      <c r="D29" s="8"/>
      <c r="E29" s="29">
        <f>E21*C3+E22*SIN((2*C3)/rho)+E23*SIN((4*C3)/rho)+E24*SIN((6*C3)/rho)</f>
        <v>5826262.079348447</v>
      </c>
    </row>
    <row r="30" spans="2:5" ht="15">
      <c r="B30" s="413" t="s">
        <v>31</v>
      </c>
      <c r="C30" s="414"/>
      <c r="D30" s="7"/>
      <c r="E30" s="27">
        <f>(E19*COS(C3/rho)^2)</f>
        <v>0.002482056898162874</v>
      </c>
    </row>
    <row r="32" spans="2:5" ht="24.75">
      <c r="B32" s="415" t="s">
        <v>99</v>
      </c>
      <c r="C32" s="415"/>
      <c r="D32" s="415"/>
      <c r="E32" s="12" t="s">
        <v>100</v>
      </c>
    </row>
    <row r="33" spans="2:5" ht="16.5">
      <c r="B33" s="13" t="s">
        <v>17</v>
      </c>
      <c r="C33" s="416">
        <f>E15/rho*E28*COS(C3/rho)</f>
        <v>67792.73944357983</v>
      </c>
      <c r="D33" s="416"/>
      <c r="E33" s="14">
        <f>C33*D8</f>
        <v>-60994.63151234607</v>
      </c>
    </row>
    <row r="34" spans="2:5" ht="16.5">
      <c r="B34" s="13" t="s">
        <v>6</v>
      </c>
      <c r="C34" s="416">
        <f>E15/(6*rho^3)*E28*COS(C3/rho)^3*(1-TAN(C3/rho)^2+E30)</f>
        <v>-0.8958676964686032</v>
      </c>
      <c r="D34" s="416"/>
      <c r="E34" s="15">
        <f>C34*D8^3</f>
        <v>0.6524829409526839</v>
      </c>
    </row>
    <row r="35" spans="2:5" ht="17.25" thickBot="1">
      <c r="B35" s="13" t="s">
        <v>7</v>
      </c>
      <c r="C35" s="416">
        <f>E15/(120*rho^5)*E28*COS(C3/rho)^5*(5-18*TAN(C3/rho)^2+TAN(C3/rho)^4+E30*(14-58*TAN(C3/rho)^2))</f>
        <v>-0.0001647003136337372</v>
      </c>
      <c r="D35" s="416"/>
      <c r="E35" s="16">
        <f>C35*D8^5</f>
        <v>9.710387639593447E-05</v>
      </c>
    </row>
    <row r="36" spans="2:5" ht="12.75" thickTop="1">
      <c r="B36" s="416" t="s">
        <v>28</v>
      </c>
      <c r="C36" s="416"/>
      <c r="D36" s="416"/>
      <c r="E36" s="20">
        <f>SUM(E33:E35)</f>
        <v>-60993.978932301245</v>
      </c>
    </row>
    <row r="37" ht="12.75">
      <c r="E37" s="1"/>
    </row>
    <row r="38" spans="2:5" ht="24.75">
      <c r="B38" s="415" t="s">
        <v>101</v>
      </c>
      <c r="C38" s="415"/>
      <c r="D38" s="415"/>
      <c r="E38" s="12" t="s">
        <v>102</v>
      </c>
    </row>
    <row r="39" spans="2:5" ht="16.5">
      <c r="B39" s="13" t="s">
        <v>18</v>
      </c>
      <c r="C39" s="422">
        <f>E29*E15</f>
        <v>5826262.079348447</v>
      </c>
      <c r="D39" s="422"/>
      <c r="E39" s="17">
        <f>C39</f>
        <v>5826262.079348447</v>
      </c>
    </row>
    <row r="40" spans="2:5" ht="16.5">
      <c r="B40" s="13" t="s">
        <v>19</v>
      </c>
      <c r="C40" s="416">
        <f>E15/(2*rho^2)*E28*COS(C3/rho)^2*TAN(C3/rho)</f>
        <v>469.79532657204925</v>
      </c>
      <c r="D40" s="416"/>
      <c r="E40" s="17">
        <f>C40*D8^2</f>
        <v>380.2993198104709</v>
      </c>
    </row>
    <row r="41" spans="2:5" ht="16.5">
      <c r="B41" s="13" t="s">
        <v>20</v>
      </c>
      <c r="C41" s="416">
        <f>E15/(24*rho^4)*E28*COS(C3/rho)^4*TAN(C3/rho)*(5-TAN(C3/rho)^2+9*E30)</f>
        <v>0.014604532844023046</v>
      </c>
      <c r="D41" s="416"/>
      <c r="E41" s="17">
        <f>C41*D8^4</f>
        <v>0.009570208126986177</v>
      </c>
    </row>
    <row r="42" spans="2:5" ht="17.25" thickBot="1">
      <c r="B42" s="13" t="s">
        <v>21</v>
      </c>
      <c r="C42" s="416">
        <f>E15/(720*rho^6)*E28*COS(C3/rho)^6*TAN(C3/rho)*(61-58*TAN(C3/rho)^2+TAN(C3/rho)^4)</f>
        <v>-5.799501645385842E-07</v>
      </c>
      <c r="D42" s="416"/>
      <c r="E42" s="18">
        <f>C42*D8^6</f>
        <v>-3.0763889684542256E-07</v>
      </c>
    </row>
    <row r="43" spans="2:5" ht="12.75" thickTop="1">
      <c r="B43" s="416" t="s">
        <v>29</v>
      </c>
      <c r="C43" s="416"/>
      <c r="D43" s="416"/>
      <c r="E43" s="21">
        <f>SUM(E39:E42)</f>
        <v>5826642.388238158</v>
      </c>
    </row>
    <row r="45" ht="12.75" thickBot="1"/>
    <row r="46" spans="2:5" ht="15" thickBot="1">
      <c r="B46" s="419" t="s">
        <v>114</v>
      </c>
      <c r="C46" s="420"/>
      <c r="D46" s="420"/>
      <c r="E46" s="421"/>
    </row>
    <row r="47" spans="2:5" ht="15" thickTop="1">
      <c r="B47" s="417" t="s">
        <v>3</v>
      </c>
      <c r="C47" s="418"/>
      <c r="D47" s="98">
        <f>D7</f>
        <v>9</v>
      </c>
      <c r="E47" s="99"/>
    </row>
    <row r="48" spans="2:5" ht="14.25">
      <c r="B48" s="100" t="s">
        <v>96</v>
      </c>
      <c r="C48" s="97">
        <f>E36+500000+D47/3*10^6</f>
        <v>3439006.021067699</v>
      </c>
      <c r="D48" s="96" t="s">
        <v>97</v>
      </c>
      <c r="E48" s="178">
        <f>E43</f>
        <v>5826642.388238158</v>
      </c>
    </row>
    <row r="49" spans="2:5" ht="15" thickBot="1">
      <c r="B49" s="101"/>
      <c r="C49" s="49"/>
      <c r="D49" s="103" t="s">
        <v>56</v>
      </c>
      <c r="E49" s="102">
        <f>C5</f>
        <v>157.02158821187913</v>
      </c>
    </row>
  </sheetData>
  <sheetProtection password="C24C" sheet="1" objects="1" scenarios="1"/>
  <mergeCells count="30">
    <mergeCell ref="B47:C47"/>
    <mergeCell ref="B43:D43"/>
    <mergeCell ref="B46:E46"/>
    <mergeCell ref="C39:D39"/>
    <mergeCell ref="C40:D40"/>
    <mergeCell ref="C41:D41"/>
    <mergeCell ref="C42:D42"/>
    <mergeCell ref="B30:C30"/>
    <mergeCell ref="B32:D32"/>
    <mergeCell ref="B38:D38"/>
    <mergeCell ref="C33:D33"/>
    <mergeCell ref="C34:D34"/>
    <mergeCell ref="C35:D35"/>
    <mergeCell ref="B36:D36"/>
    <mergeCell ref="B12:C12"/>
    <mergeCell ref="B13:C13"/>
    <mergeCell ref="B17:E17"/>
    <mergeCell ref="B15:D15"/>
    <mergeCell ref="B28:C28"/>
    <mergeCell ref="B29:C29"/>
    <mergeCell ref="B2:D2"/>
    <mergeCell ref="B7:C7"/>
    <mergeCell ref="B8:C8"/>
    <mergeCell ref="B9:C9"/>
    <mergeCell ref="B18:D18"/>
    <mergeCell ref="B27:E27"/>
    <mergeCell ref="B19:D19"/>
    <mergeCell ref="B20:D20"/>
    <mergeCell ref="B21:C24"/>
    <mergeCell ref="B11:E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&amp;CUTM-Koordinaten aus ellipsoidischen Koordinaten (GRS80 Ellipsoid)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2010-03-29T12:27:54Z</cp:lastPrinted>
  <dcterms:created xsi:type="dcterms:W3CDTF">2005-02-11T16:32:57Z</dcterms:created>
  <dcterms:modified xsi:type="dcterms:W3CDTF">2011-07-15T13:47:58Z</dcterms:modified>
  <cp:category/>
  <cp:version/>
  <cp:contentType/>
  <cp:contentStatus/>
</cp:coreProperties>
</file>