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573" windowWidth="14720" windowHeight="8707" activeTab="1"/>
  </bookViews>
  <sheets>
    <sheet name="GK ==&gt; Ellipsoidisch" sheetId="1" r:id="rId1"/>
    <sheet name="Ellipsoidisch ==&gt; GK" sheetId="2" r:id="rId2"/>
    <sheet name="Ellipsoidparameter" sheetId="3" r:id="rId3"/>
  </sheets>
  <definedNames>
    <definedName name="rho">'Ellipsoidisch ==&gt; GK'!$F$10</definedName>
  </definedNames>
  <calcPr fullCalcOnLoad="1"/>
</workbook>
</file>

<file path=xl/sharedStrings.xml><?xml version="1.0" encoding="utf-8"?>
<sst xmlns="http://schemas.openxmlformats.org/spreadsheetml/2006/main" count="104" uniqueCount="78">
  <si>
    <t>Große Halbachse a</t>
  </si>
  <si>
    <t>m</t>
  </si>
  <si>
    <t>Kleine Halbachse b</t>
  </si>
  <si>
    <t>Bezugsmeridian</t>
  </si>
  <si>
    <t>Dl</t>
  </si>
  <si>
    <t>Abgeleitete Konstanten</t>
  </si>
  <si>
    <r>
      <t>{3}</t>
    </r>
    <r>
      <rPr>
        <vertAlign val="subscript"/>
        <sz val="10"/>
        <rFont val="Arial"/>
        <family val="2"/>
      </rPr>
      <t>y</t>
    </r>
  </si>
  <si>
    <r>
      <t>{5}</t>
    </r>
    <r>
      <rPr>
        <vertAlign val="subscript"/>
        <sz val="10"/>
        <rFont val="Arial"/>
        <family val="2"/>
      </rPr>
      <t>y</t>
    </r>
  </si>
  <si>
    <r>
      <t>E</t>
    </r>
    <r>
      <rPr>
        <vertAlign val="subscript"/>
        <sz val="10"/>
        <rFont val="Arial"/>
        <family val="2"/>
      </rPr>
      <t>0</t>
    </r>
  </si>
  <si>
    <r>
      <t>E</t>
    </r>
    <r>
      <rPr>
        <vertAlign val="subscript"/>
        <sz val="10"/>
        <rFont val="Arial"/>
        <family val="2"/>
      </rPr>
      <t>2</t>
    </r>
  </si>
  <si>
    <r>
      <t>E</t>
    </r>
    <r>
      <rPr>
        <vertAlign val="subscript"/>
        <sz val="10"/>
        <rFont val="Arial"/>
        <family val="2"/>
      </rPr>
      <t>4</t>
    </r>
  </si>
  <si>
    <r>
      <t>E</t>
    </r>
    <r>
      <rPr>
        <vertAlign val="subscript"/>
        <sz val="10"/>
        <rFont val="Arial"/>
        <family val="2"/>
      </rPr>
      <t>6</t>
    </r>
  </si>
  <si>
    <t>grad</t>
  </si>
  <si>
    <t>j</t>
  </si>
  <si>
    <t>l</t>
  </si>
  <si>
    <t>Breitenabhängige Parameter</t>
  </si>
  <si>
    <r>
      <t>{1}</t>
    </r>
    <r>
      <rPr>
        <vertAlign val="subscript"/>
        <sz val="10"/>
        <rFont val="Arial"/>
        <family val="2"/>
      </rPr>
      <t>Y</t>
    </r>
  </si>
  <si>
    <r>
      <t>{0}</t>
    </r>
    <r>
      <rPr>
        <vertAlign val="subscript"/>
        <sz val="10"/>
        <rFont val="Arial"/>
        <family val="2"/>
      </rPr>
      <t>X</t>
    </r>
  </si>
  <si>
    <r>
      <t>{2}</t>
    </r>
    <r>
      <rPr>
        <vertAlign val="subscript"/>
        <sz val="10"/>
        <rFont val="Arial"/>
        <family val="2"/>
      </rPr>
      <t>X</t>
    </r>
  </si>
  <si>
    <r>
      <t>{4}</t>
    </r>
    <r>
      <rPr>
        <vertAlign val="subscript"/>
        <sz val="10"/>
        <rFont val="Arial"/>
        <family val="2"/>
      </rPr>
      <t>X</t>
    </r>
  </si>
  <si>
    <r>
      <t>{6}</t>
    </r>
    <r>
      <rPr>
        <vertAlign val="subscript"/>
        <sz val="10"/>
        <rFont val="Arial"/>
        <family val="2"/>
      </rPr>
      <t>X</t>
    </r>
  </si>
  <si>
    <r>
      <t>Quadrat der 1. Numerischen Exzentrizität     e</t>
    </r>
    <r>
      <rPr>
        <vertAlign val="superscript"/>
        <sz val="10"/>
        <rFont val="Arial"/>
        <family val="2"/>
      </rPr>
      <t>2</t>
    </r>
  </si>
  <si>
    <r>
      <t>Quadrat der 2. Numerische Exzenrizität       e´</t>
    </r>
    <r>
      <rPr>
        <vertAlign val="superscript"/>
        <sz val="10"/>
        <rFont val="Arial"/>
        <family val="2"/>
      </rPr>
      <t>2</t>
    </r>
  </si>
  <si>
    <t>Polkrümmungshalbmesser                          c</t>
  </si>
  <si>
    <t>Koeffizienten zur Berechnung der Meridianbogenlänge</t>
  </si>
  <si>
    <t>Querkümmungshalbmesser     N</t>
  </si>
  <si>
    <t>Meridianbogenlänge                G</t>
  </si>
  <si>
    <r>
      <t xml:space="preserve">                                                     h </t>
    </r>
    <r>
      <rPr>
        <vertAlign val="superscript"/>
        <sz val="10"/>
        <rFont val="Arial"/>
        <family val="2"/>
      </rPr>
      <t xml:space="preserve">2      </t>
    </r>
  </si>
  <si>
    <t>Koeffizienten zur Berechnung der Geographischen Breite aus Meridianbogenlänge</t>
  </si>
  <si>
    <r>
      <t>F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</si>
  <si>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4</t>
    </r>
  </si>
  <si>
    <r>
      <t>F</t>
    </r>
    <r>
      <rPr>
        <vertAlign val="subscript"/>
        <sz val="10"/>
        <rFont val="Arial"/>
        <family val="2"/>
      </rPr>
      <t>6</t>
    </r>
  </si>
  <si>
    <t>Y</t>
  </si>
  <si>
    <t>Koeffizienten der Reihenentwicklung (Breite)</t>
  </si>
  <si>
    <r>
      <t>{2}</t>
    </r>
    <r>
      <rPr>
        <vertAlign val="subscript"/>
        <sz val="10"/>
        <rFont val="Arial"/>
        <family val="2"/>
      </rPr>
      <t>B</t>
    </r>
  </si>
  <si>
    <r>
      <t>{4}</t>
    </r>
    <r>
      <rPr>
        <vertAlign val="subscript"/>
        <sz val="10"/>
        <rFont val="Arial"/>
        <family val="2"/>
      </rPr>
      <t>B</t>
    </r>
  </si>
  <si>
    <r>
      <t>{6}</t>
    </r>
    <r>
      <rPr>
        <vertAlign val="subscript"/>
        <sz val="10"/>
        <rFont val="Arial"/>
        <family val="2"/>
      </rPr>
      <t>B</t>
    </r>
  </si>
  <si>
    <t>Koeffizienten der Reihenentwicklung (Länge)</t>
  </si>
  <si>
    <r>
      <t>[1]</t>
    </r>
    <r>
      <rPr>
        <vertAlign val="subscript"/>
        <sz val="10"/>
        <rFont val="Arial"/>
        <family val="2"/>
      </rPr>
      <t>L</t>
    </r>
  </si>
  <si>
    <r>
      <t>[3]</t>
    </r>
    <r>
      <rPr>
        <vertAlign val="subscript"/>
        <sz val="10"/>
        <rFont val="Arial"/>
        <family val="2"/>
      </rPr>
      <t>L</t>
    </r>
  </si>
  <si>
    <r>
      <t>[5</t>
    </r>
    <r>
      <rPr>
        <vertAlign val="subscript"/>
        <sz val="10"/>
        <rFont val="Arial"/>
        <family val="2"/>
      </rPr>
      <t>]L</t>
    </r>
  </si>
  <si>
    <t>Y [km]</t>
  </si>
  <si>
    <t>geographische Breite zur Meridianbogenlänge (1. Näherung)</t>
  </si>
  <si>
    <t xml:space="preserve">geographische Breite zur Meridianbogenlänge </t>
  </si>
  <si>
    <t>Querkümmungshalbmesser     N [100 km]</t>
  </si>
  <si>
    <t>Breitenanteile</t>
  </si>
  <si>
    <t>Dj</t>
  </si>
  <si>
    <t>Längenanteile</t>
  </si>
  <si>
    <t>Grad</t>
  </si>
  <si>
    <t>Minuten</t>
  </si>
  <si>
    <t>Sekunden</t>
  </si>
  <si>
    <t>GK- Maßstabsfaktor am Hauptmeridian</t>
  </si>
  <si>
    <t>Rechts</t>
  </si>
  <si>
    <t>Hoch</t>
  </si>
  <si>
    <t>Maßstabsfaktor am Hauptmeridian</t>
  </si>
  <si>
    <t>GK - Koordinaten</t>
  </si>
  <si>
    <t>Koeffizienten der Reihenentwicklung (Rechts)</t>
  </si>
  <si>
    <t>Koeffizienten der Reihenentwicklung (Hoch)</t>
  </si>
  <si>
    <t>Koordinatenanteile (Rechts)</t>
  </si>
  <si>
    <t>Koordinatenanteile (Hoch)</t>
  </si>
  <si>
    <t>Summe der Koordinatenanteile (Rechts)</t>
  </si>
  <si>
    <t>Summe der Koordinatenanteile (Hoch)</t>
  </si>
  <si>
    <r>
      <t xml:space="preserve">In den </t>
    </r>
    <r>
      <rPr>
        <b/>
        <sz val="12"/>
        <color indexed="13"/>
        <rFont val="Arial"/>
        <family val="2"/>
      </rPr>
      <t>gelb hinterlegten Zellen</t>
    </r>
    <r>
      <rPr>
        <b/>
        <sz val="12"/>
        <color indexed="9"/>
        <rFont val="Arial"/>
        <family val="2"/>
      </rPr>
      <t xml:space="preserve"> können die Parameter geändert werden.                                                                                                              Die Ergebnisse sind in den </t>
    </r>
    <r>
      <rPr>
        <b/>
        <sz val="12"/>
        <color indexed="11"/>
        <rFont val="Arial"/>
        <family val="2"/>
      </rPr>
      <t>grün hinterlegten Zellen</t>
    </r>
    <r>
      <rPr>
        <b/>
        <sz val="12"/>
        <color indexed="9"/>
        <rFont val="Arial"/>
        <family val="2"/>
      </rPr>
      <t xml:space="preserve"> dokumentiert.              </t>
    </r>
  </si>
  <si>
    <t>Berechnung von Gauß-Krüger Koordinaten aus ellipsoidischen Koordinaten</t>
  </si>
  <si>
    <t>Berechnung von ellipsischen Koordinaten aus Gauß-Krüger Koordinaten</t>
  </si>
  <si>
    <t xml:space="preserve">GK - Koordinaten </t>
  </si>
  <si>
    <t xml:space="preserve">Ellipsoidische Koordinaten </t>
  </si>
  <si>
    <r>
      <t>Quadrat der 1. Numerischen Exzentrizität  e</t>
    </r>
    <r>
      <rPr>
        <vertAlign val="superscript"/>
        <sz val="10"/>
        <rFont val="Arial"/>
        <family val="2"/>
      </rPr>
      <t>2</t>
    </r>
  </si>
  <si>
    <r>
      <t>Quadrat der 2. Numerische Exzenrizität    e´</t>
    </r>
    <r>
      <rPr>
        <vertAlign val="superscript"/>
        <sz val="10"/>
        <rFont val="Arial"/>
        <family val="2"/>
      </rPr>
      <t>2</t>
    </r>
  </si>
  <si>
    <t>Bessel 1841</t>
  </si>
  <si>
    <t>Krassowski</t>
  </si>
  <si>
    <t>GRS 80</t>
  </si>
  <si>
    <t>Ellipsoid Auswahl</t>
  </si>
  <si>
    <t>a</t>
  </si>
  <si>
    <t>Hayford 1909</t>
  </si>
  <si>
    <t>Clarke 1880 IGN</t>
  </si>
  <si>
    <t>f</t>
  </si>
  <si>
    <t>b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</si>
</sst>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"/>
    <numFmt numFmtId="165" formatCode="#,##0.0"/>
    <numFmt numFmtId="166" formatCode="#,##0.000"/>
    <numFmt numFmtId="167" formatCode="0.00000000"/>
    <numFmt numFmtId="168" formatCode="0.000000000"/>
    <numFmt numFmtId="169" formatCode="0.0000000"/>
    <numFmt numFmtId="170" formatCode="0.0000000000"/>
    <numFmt numFmtId="171" formatCode="0.000"/>
    <numFmt numFmtId="172" formatCode="0.0000"/>
    <numFmt numFmtId="173" formatCode="#,##0.0000"/>
    <numFmt numFmtId="174" formatCode="0.000000"/>
    <numFmt numFmtId="175" formatCode="0.00000"/>
    <numFmt numFmtId="176" formatCode="#,##0.00000000"/>
    <numFmt numFmtId="177" formatCode="##,\ ###,\ ###,###"/>
    <numFmt numFmtId="178" formatCode="##\ \ ###\ \ ###\ ###.000"/>
    <numFmt numFmtId="179" formatCode="#,##0.00000"/>
    <numFmt numFmtId="180" formatCode="#,##0.000000"/>
    <numFmt numFmtId="181" formatCode="#,##0.0000000"/>
    <numFmt numFmtId="182" formatCode="0.0"/>
    <numFmt numFmtId="183" formatCode="###\ ###\ ##\ ###.000"/>
    <numFmt numFmtId="184" formatCode="######\ ##\ ###.000"/>
    <numFmt numFmtId="185" formatCode="###\ ###\ ###\ ###.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54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12"/>
      <name val="Symbol"/>
      <family val="1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b/>
      <sz val="11"/>
      <name val="Symbol"/>
      <family val="1"/>
    </font>
    <font>
      <b/>
      <sz val="10"/>
      <color indexed="9"/>
      <name val="Arial"/>
      <family val="0"/>
    </font>
    <font>
      <sz val="10"/>
      <name val="Arial Unicode MS"/>
      <family val="0"/>
    </font>
    <font>
      <sz val="8"/>
      <name val="Arial"/>
      <family val="0"/>
    </font>
    <font>
      <sz val="8"/>
      <name val="Tahoma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53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76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right"/>
    </xf>
    <xf numFmtId="166" fontId="0" fillId="0" borderId="1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8" fontId="0" fillId="0" borderId="16" xfId="0" applyNumberFormat="1" applyBorder="1" applyAlignment="1">
      <alignment/>
    </xf>
    <xf numFmtId="168" fontId="0" fillId="0" borderId="18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176" fontId="2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168" fontId="0" fillId="0" borderId="16" xfId="0" applyNumberFormat="1" applyBorder="1" applyAlignment="1" applyProtection="1">
      <alignment/>
      <protection/>
    </xf>
    <xf numFmtId="168" fontId="0" fillId="0" borderId="18" xfId="0" applyNumberFormat="1" applyBorder="1" applyAlignment="1" applyProtection="1">
      <alignment/>
      <protection/>
    </xf>
    <xf numFmtId="166" fontId="0" fillId="0" borderId="17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181" fontId="0" fillId="0" borderId="18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64" fontId="0" fillId="0" borderId="13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164" fontId="0" fillId="0" borderId="14" xfId="0" applyNumberFormat="1" applyFont="1" applyBorder="1" applyAlignment="1" applyProtection="1">
      <alignment/>
      <protection/>
    </xf>
    <xf numFmtId="164" fontId="0" fillId="0" borderId="15" xfId="0" applyNumberFormat="1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top"/>
      <protection/>
    </xf>
    <xf numFmtId="0" fontId="2" fillId="0" borderId="14" xfId="0" applyFont="1" applyBorder="1" applyAlignment="1">
      <alignment horizontal="right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right"/>
    </xf>
    <xf numFmtId="168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2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 vertical="center" wrapText="1"/>
    </xf>
    <xf numFmtId="1" fontId="13" fillId="33" borderId="15" xfId="0" applyNumberFormat="1" applyFont="1" applyFill="1" applyBorder="1" applyAlignment="1">
      <alignment/>
    </xf>
    <xf numFmtId="0" fontId="13" fillId="33" borderId="15" xfId="0" applyFont="1" applyFill="1" applyBorder="1" applyAlignment="1">
      <alignment/>
    </xf>
    <xf numFmtId="171" fontId="13" fillId="33" borderId="27" xfId="0" applyNumberFormat="1" applyFont="1" applyFill="1" applyBorder="1" applyAlignment="1">
      <alignment/>
    </xf>
    <xf numFmtId="3" fontId="13" fillId="33" borderId="28" xfId="0" applyNumberFormat="1" applyFont="1" applyFill="1" applyBorder="1" applyAlignment="1">
      <alignment/>
    </xf>
    <xf numFmtId="0" fontId="13" fillId="33" borderId="28" xfId="0" applyFont="1" applyFill="1" applyBorder="1" applyAlignment="1">
      <alignment/>
    </xf>
    <xf numFmtId="171" fontId="13" fillId="33" borderId="29" xfId="0" applyNumberFormat="1" applyFont="1" applyFill="1" applyBorder="1" applyAlignment="1">
      <alignment/>
    </xf>
    <xf numFmtId="0" fontId="5" fillId="34" borderId="26" xfId="0" applyFont="1" applyFill="1" applyBorder="1" applyAlignment="1">
      <alignment horizontal="right"/>
    </xf>
    <xf numFmtId="178" fontId="5" fillId="34" borderId="28" xfId="0" applyNumberFormat="1" applyFont="1" applyFill="1" applyBorder="1" applyAlignment="1">
      <alignment/>
    </xf>
    <xf numFmtId="0" fontId="5" fillId="34" borderId="28" xfId="0" applyFont="1" applyFill="1" applyBorder="1" applyAlignment="1">
      <alignment horizontal="right"/>
    </xf>
    <xf numFmtId="178" fontId="5" fillId="34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8" fontId="5" fillId="33" borderId="21" xfId="0" applyNumberFormat="1" applyFont="1" applyFill="1" applyBorder="1" applyAlignment="1" applyProtection="1">
      <alignment/>
      <protection/>
    </xf>
    <xf numFmtId="178" fontId="5" fillId="33" borderId="30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 horizontal="right"/>
      <protection/>
    </xf>
    <xf numFmtId="0" fontId="14" fillId="34" borderId="31" xfId="0" applyFont="1" applyFill="1" applyBorder="1" applyAlignment="1" applyProtection="1">
      <alignment horizontal="right"/>
      <protection/>
    </xf>
    <xf numFmtId="3" fontId="5" fillId="34" borderId="13" xfId="0" applyNumberFormat="1" applyFont="1" applyFill="1" applyBorder="1" applyAlignment="1" applyProtection="1">
      <alignment horizontal="right"/>
      <protection/>
    </xf>
    <xf numFmtId="3" fontId="5" fillId="34" borderId="13" xfId="0" applyNumberFormat="1" applyFont="1" applyFill="1" applyBorder="1" applyAlignment="1" applyProtection="1">
      <alignment/>
      <protection/>
    </xf>
    <xf numFmtId="175" fontId="5" fillId="34" borderId="32" xfId="0" applyNumberFormat="1" applyFont="1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 horizontal="right"/>
      <protection/>
    </xf>
    <xf numFmtId="3" fontId="5" fillId="34" borderId="28" xfId="0" applyNumberFormat="1" applyFont="1" applyFill="1" applyBorder="1" applyAlignment="1" applyProtection="1">
      <alignment horizontal="right"/>
      <protection/>
    </xf>
    <xf numFmtId="3" fontId="5" fillId="34" borderId="28" xfId="0" applyNumberFormat="1" applyFont="1" applyFill="1" applyBorder="1" applyAlignment="1" applyProtection="1">
      <alignment/>
      <protection/>
    </xf>
    <xf numFmtId="175" fontId="5" fillId="34" borderId="29" xfId="0" applyNumberFormat="1" applyFont="1" applyFill="1" applyBorder="1" applyAlignment="1" applyProtection="1">
      <alignment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2" fontId="0" fillId="0" borderId="37" xfId="0" applyNumberForma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178" fontId="0" fillId="0" borderId="13" xfId="0" applyNumberFormat="1" applyFont="1" applyBorder="1" applyAlignment="1" applyProtection="1">
      <alignment/>
      <protection/>
    </xf>
    <xf numFmtId="172" fontId="0" fillId="0" borderId="13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66" fontId="0" fillId="0" borderId="16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wrapText="1"/>
      <protection/>
    </xf>
    <xf numFmtId="168" fontId="0" fillId="0" borderId="13" xfId="0" applyNumberFormat="1" applyFont="1" applyBorder="1" applyAlignment="1" applyProtection="1">
      <alignment/>
      <protection/>
    </xf>
    <xf numFmtId="168" fontId="0" fillId="0" borderId="14" xfId="0" applyNumberFormat="1" applyFont="1" applyBorder="1" applyAlignment="1" applyProtection="1">
      <alignment/>
      <protection/>
    </xf>
    <xf numFmtId="164" fontId="0" fillId="0" borderId="15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64" fontId="0" fillId="0" borderId="18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right"/>
    </xf>
    <xf numFmtId="172" fontId="0" fillId="35" borderId="15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6" fillId="0" borderId="0" xfId="0" applyFont="1" applyAlignment="1">
      <alignment/>
    </xf>
    <xf numFmtId="173" fontId="0" fillId="0" borderId="0" xfId="0" applyNumberFormat="1" applyAlignment="1">
      <alignment/>
    </xf>
    <xf numFmtId="166" fontId="1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34" xfId="0" applyBorder="1" applyAlignment="1">
      <alignment/>
    </xf>
    <xf numFmtId="0" fontId="7" fillId="0" borderId="34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3" borderId="33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4" xfId="0" applyFill="1" applyBorder="1" applyAlignment="1">
      <alignment/>
    </xf>
    <xf numFmtId="0" fontId="2" fillId="34" borderId="41" xfId="0" applyFont="1" applyFill="1" applyBorder="1" applyAlignment="1" applyProtection="1">
      <alignment/>
      <protection/>
    </xf>
    <xf numFmtId="0" fontId="2" fillId="34" borderId="42" xfId="0" applyFont="1" applyFill="1" applyBorder="1" applyAlignment="1" applyProtection="1">
      <alignment/>
      <protection/>
    </xf>
    <xf numFmtId="166" fontId="2" fillId="34" borderId="12" xfId="0" applyNumberFormat="1" applyFont="1" applyFill="1" applyBorder="1" applyAlignment="1" applyProtection="1">
      <alignment/>
      <protection/>
    </xf>
    <xf numFmtId="166" fontId="2" fillId="34" borderId="10" xfId="0" applyNumberFormat="1" applyFont="1" applyFill="1" applyBorder="1" applyAlignment="1" applyProtection="1">
      <alignment/>
      <protection/>
    </xf>
    <xf numFmtId="0" fontId="5" fillId="33" borderId="33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39" xfId="0" applyFont="1" applyFill="1" applyBorder="1" applyAlignment="1">
      <alignment vertical="center" wrapText="1"/>
    </xf>
    <xf numFmtId="0" fontId="2" fillId="34" borderId="41" xfId="0" applyFont="1" applyFill="1" applyBorder="1" applyAlignment="1">
      <alignment/>
    </xf>
    <xf numFmtId="166" fontId="2" fillId="34" borderId="38" xfId="0" applyNumberFormat="1" applyFont="1" applyFill="1" applyBorder="1" applyAlignment="1" applyProtection="1">
      <alignment/>
      <protection/>
    </xf>
    <xf numFmtId="0" fontId="2" fillId="34" borderId="39" xfId="0" applyFont="1" applyFill="1" applyBorder="1" applyAlignment="1">
      <alignment/>
    </xf>
    <xf numFmtId="0" fontId="2" fillId="0" borderId="4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70" fontId="0" fillId="0" borderId="19" xfId="0" applyNumberFormat="1" applyFont="1" applyBorder="1" applyAlignment="1" applyProtection="1">
      <alignment horizontal="center"/>
      <protection/>
    </xf>
    <xf numFmtId="170" fontId="0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0" fontId="0" fillId="0" borderId="46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164" fontId="0" fillId="0" borderId="19" xfId="0" applyNumberFormat="1" applyFont="1" applyBorder="1" applyAlignment="1" applyProtection="1">
      <alignment horizontal="center"/>
      <protection/>
    </xf>
    <xf numFmtId="164" fontId="0" fillId="0" borderId="18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0" fillId="36" borderId="59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5" fillId="0" borderId="60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2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showGridLines="0" zoomScalePageLayoutView="0" workbookViewId="0" topLeftCell="A1">
      <selection activeCell="F11" sqref="F11"/>
    </sheetView>
  </sheetViews>
  <sheetFormatPr defaultColWidth="11.421875" defaultRowHeight="12.75"/>
  <cols>
    <col min="1" max="1" width="3.00390625" style="0" customWidth="1"/>
    <col min="2" max="2" width="14.140625" style="0" bestFit="1" customWidth="1"/>
    <col min="3" max="3" width="21.7109375" style="0" customWidth="1"/>
    <col min="4" max="4" width="15.28125" style="0" customWidth="1"/>
    <col min="5" max="5" width="16.7109375" style="0" customWidth="1"/>
    <col min="6" max="6" width="10.00390625" style="0" customWidth="1"/>
    <col min="10" max="11" width="15.28125" style="0" customWidth="1"/>
  </cols>
  <sheetData>
    <row r="1" ht="12.75" thickBot="1"/>
    <row r="2" spans="2:10" ht="15.75" thickBot="1">
      <c r="B2" s="202" t="s">
        <v>64</v>
      </c>
      <c r="C2" s="203"/>
      <c r="D2" s="203"/>
      <c r="E2" s="203"/>
      <c r="F2" s="204"/>
      <c r="H2" s="210" t="s">
        <v>72</v>
      </c>
      <c r="I2" s="211"/>
      <c r="J2" s="212"/>
    </row>
    <row r="3" spans="2:11" ht="16.5" thickBot="1" thickTop="1">
      <c r="B3" s="205" t="str">
        <f>CONCATENATE("Ausgewähltes Ellipsoid:    ",J7)</f>
        <v>Ausgewähltes Ellipsoid:    Bessel 1841</v>
      </c>
      <c r="C3" s="206"/>
      <c r="D3" s="206"/>
      <c r="E3" s="206"/>
      <c r="F3" s="207"/>
      <c r="H3" s="144"/>
      <c r="I3" s="4"/>
      <c r="J3" s="146"/>
      <c r="K3" s="138">
        <v>1</v>
      </c>
    </row>
    <row r="4" spans="2:10" ht="12.75">
      <c r="B4" s="21"/>
      <c r="C4" s="21"/>
      <c r="D4" s="21"/>
      <c r="E4" s="21"/>
      <c r="F4" s="21"/>
      <c r="H4" s="144"/>
      <c r="I4" s="4"/>
      <c r="J4" s="140"/>
    </row>
    <row r="5" spans="2:10" ht="15">
      <c r="B5" s="208" t="s">
        <v>62</v>
      </c>
      <c r="C5" s="208"/>
      <c r="D5" s="208"/>
      <c r="E5" s="208"/>
      <c r="F5" s="208"/>
      <c r="H5" s="144"/>
      <c r="I5" s="139"/>
      <c r="J5" s="140"/>
    </row>
    <row r="6" spans="2:10" ht="12.75">
      <c r="B6" s="209"/>
      <c r="C6" s="209"/>
      <c r="D6" s="209"/>
      <c r="E6" s="209"/>
      <c r="F6" s="209"/>
      <c r="H6" s="144"/>
      <c r="I6" s="4"/>
      <c r="J6" s="140"/>
    </row>
    <row r="7" spans="2:10" ht="12.75">
      <c r="B7" s="209"/>
      <c r="C7" s="209"/>
      <c r="D7" s="209"/>
      <c r="E7" s="209"/>
      <c r="F7" s="209"/>
      <c r="H7" s="144"/>
      <c r="I7" s="4"/>
      <c r="J7" s="141" t="str">
        <f>IF(K3=1,"Bessel 1841",(IF(K3=2,"GRS 80",IF(K3=3,"Hayford",IF(K3=4,"Krassowski")))))</f>
        <v>Bessel 1841</v>
      </c>
    </row>
    <row r="8" spans="8:10" ht="13.5" thickBot="1">
      <c r="H8" s="145"/>
      <c r="I8" s="142"/>
      <c r="J8" s="143"/>
    </row>
    <row r="9" ht="12.75" thickBot="1"/>
    <row r="10" spans="2:11" ht="15" thickBot="1">
      <c r="B10" s="193" t="s">
        <v>65</v>
      </c>
      <c r="C10" s="194"/>
      <c r="D10" s="194"/>
      <c r="E10" s="195"/>
      <c r="H10" s="213" t="s">
        <v>66</v>
      </c>
      <c r="I10" s="214"/>
      <c r="J10" s="214"/>
      <c r="K10" s="215"/>
    </row>
    <row r="11" spans="2:11" ht="15.75" thickBot="1" thickTop="1">
      <c r="B11" s="55" t="s">
        <v>52</v>
      </c>
      <c r="C11" s="90">
        <v>4405057.62891321</v>
      </c>
      <c r="D11" s="56" t="s">
        <v>53</v>
      </c>
      <c r="E11" s="91">
        <v>5368263.248116942</v>
      </c>
      <c r="H11" s="92"/>
      <c r="I11" s="93" t="s">
        <v>48</v>
      </c>
      <c r="J11" s="93" t="s">
        <v>49</v>
      </c>
      <c r="K11" s="94" t="s">
        <v>50</v>
      </c>
    </row>
    <row r="12" spans="8:11" ht="14.25">
      <c r="H12" s="95" t="s">
        <v>14</v>
      </c>
      <c r="I12" s="96">
        <f>E37-MOD(E37,1)</f>
        <v>10</v>
      </c>
      <c r="J12" s="97">
        <f>(E37-I12)*60-MOD((E37-I12)*60,1)</f>
        <v>42</v>
      </c>
      <c r="K12" s="98">
        <f>(E37-I12-J12/60)*3600</f>
        <v>59.32150214655367</v>
      </c>
    </row>
    <row r="13" spans="2:11" ht="15" thickBot="1">
      <c r="B13" s="108" t="s">
        <v>32</v>
      </c>
      <c r="C13" s="109">
        <f>C11-D15/3*1000000-500000</f>
        <v>-94942.37108679023</v>
      </c>
      <c r="D13" s="108" t="s">
        <v>41</v>
      </c>
      <c r="E13" s="110">
        <f>C13/100000</f>
        <v>-0.9494237108679022</v>
      </c>
      <c r="H13" s="99" t="s">
        <v>13</v>
      </c>
      <c r="I13" s="100">
        <f>E30-MOD(E30,1)</f>
        <v>48</v>
      </c>
      <c r="J13" s="101">
        <f>(E30-I13)*60-MOD((E30-I13)*60,1)</f>
        <v>26</v>
      </c>
      <c r="K13" s="102">
        <f>(E30-I13-J13/60)*3600</f>
        <v>45.43552416756364</v>
      </c>
    </row>
    <row r="14" spans="2:5" ht="12.75">
      <c r="B14" s="111"/>
      <c r="C14" s="112"/>
      <c r="D14" s="112"/>
      <c r="E14" s="112"/>
    </row>
    <row r="15" spans="2:5" ht="12.75">
      <c r="B15" s="113" t="s">
        <v>3</v>
      </c>
      <c r="C15" s="114"/>
      <c r="D15" s="114">
        <f>(C11-MOD(C11/1000000,1)*1000000)/1000000*3</f>
        <v>12</v>
      </c>
      <c r="E15" s="115" t="s">
        <v>12</v>
      </c>
    </row>
    <row r="16" spans="2:5" ht="12.75" thickBot="1">
      <c r="B16" s="89"/>
      <c r="C16" s="89"/>
      <c r="D16" s="89"/>
      <c r="E16" s="89"/>
    </row>
    <row r="17" spans="2:11" ht="13.5" thickBot="1">
      <c r="B17" s="89"/>
      <c r="C17" s="89"/>
      <c r="D17" s="89"/>
      <c r="E17" s="89"/>
      <c r="H17" s="216" t="str">
        <f>CONCATENATE("Ellipsoidparameter (",J7," )")</f>
        <v>Ellipsoidparameter (Bessel 1841 )</v>
      </c>
      <c r="I17" s="217"/>
      <c r="J17" s="217"/>
      <c r="K17" s="218"/>
    </row>
    <row r="18" spans="2:11" ht="13.5" thickTop="1">
      <c r="B18" s="116" t="s">
        <v>42</v>
      </c>
      <c r="C18" s="117"/>
      <c r="D18" s="118"/>
      <c r="E18" s="119">
        <f>(E11/K21)/K27</f>
        <v>48.31023501451367</v>
      </c>
      <c r="H18" s="219" t="s">
        <v>0</v>
      </c>
      <c r="I18" s="220"/>
      <c r="J18" s="149">
        <f>IF(K3=1,Ellipsoidparameter!C5,IF(K3=2,Ellipsoidparameter!C7,IF(K3=3,Ellipsoidparameter!C8,IF(K3=4,Ellipsoidparameter!C6))))</f>
        <v>6377397.155</v>
      </c>
      <c r="K18" s="147" t="s">
        <v>1</v>
      </c>
    </row>
    <row r="19" spans="2:11" ht="15.75" customHeight="1">
      <c r="B19" s="120" t="s">
        <v>43</v>
      </c>
      <c r="C19" s="120"/>
      <c r="D19" s="120"/>
      <c r="E19" s="119">
        <f>E18+K28*SIN((2*E18)/rho)+K29*SIN((4*E18)/rho)+K30*SIN((6*E18)/rho)</f>
        <v>48.453112221917785</v>
      </c>
      <c r="H19" s="200" t="s">
        <v>2</v>
      </c>
      <c r="I19" s="201"/>
      <c r="J19" s="150">
        <f>IF(K3=1,Ellipsoidparameter!D5,IF(K3=2,Ellipsoidparameter!D7,IF(K3=3,Ellipsoidparameter!D8,IF(K3=4,Ellipsoidparameter!D6))))</f>
        <v>6356078.962821752</v>
      </c>
      <c r="K19" s="148" t="s">
        <v>1</v>
      </c>
    </row>
    <row r="20" spans="2:11" ht="12.75">
      <c r="B20" s="121"/>
      <c r="C20" s="111"/>
      <c r="D20" s="112"/>
      <c r="E20" s="112"/>
      <c r="H20" s="103"/>
      <c r="I20" s="37"/>
      <c r="J20" s="38"/>
      <c r="K20" s="104"/>
    </row>
    <row r="21" spans="2:11" ht="12.75" thickBot="1">
      <c r="B21" s="190" t="s">
        <v>15</v>
      </c>
      <c r="C21" s="191"/>
      <c r="D21" s="191"/>
      <c r="E21" s="192"/>
      <c r="H21" s="105" t="s">
        <v>51</v>
      </c>
      <c r="I21" s="106"/>
      <c r="J21" s="106"/>
      <c r="K21" s="107">
        <v>1</v>
      </c>
    </row>
    <row r="22" spans="2:11" ht="12.75" thickTop="1">
      <c r="B22" s="198" t="s">
        <v>44</v>
      </c>
      <c r="C22" s="199"/>
      <c r="D22" s="199"/>
      <c r="E22" s="122">
        <f>K26/SQRT(1+E23)/100000</f>
        <v>63.8935152178879</v>
      </c>
      <c r="H22" s="37"/>
      <c r="I22" s="37"/>
      <c r="J22" s="38"/>
      <c r="K22" s="35"/>
    </row>
    <row r="23" spans="2:11" ht="15.75" thickBot="1">
      <c r="B23" s="171" t="s">
        <v>27</v>
      </c>
      <c r="C23" s="172"/>
      <c r="D23" s="172"/>
      <c r="E23" s="123">
        <f>(K25*COS(E19/rho)^2)</f>
        <v>0.0029556342138811575</v>
      </c>
      <c r="H23" s="168" t="s">
        <v>5</v>
      </c>
      <c r="I23" s="169"/>
      <c r="J23" s="169"/>
      <c r="K23" s="170"/>
    </row>
    <row r="24" spans="2:11" ht="15" thickTop="1">
      <c r="B24" s="112"/>
      <c r="C24" s="112"/>
      <c r="D24" s="112"/>
      <c r="E24" s="112"/>
      <c r="H24" s="179" t="s">
        <v>67</v>
      </c>
      <c r="I24" s="180"/>
      <c r="J24" s="180"/>
      <c r="K24" s="41">
        <f>((J18^2-J19^2)/J18^2)</f>
        <v>0.006674372230688312</v>
      </c>
    </row>
    <row r="25" spans="2:11" ht="14.25">
      <c r="B25" s="189" t="s">
        <v>33</v>
      </c>
      <c r="C25" s="189"/>
      <c r="D25" s="189"/>
      <c r="E25" s="124" t="s">
        <v>45</v>
      </c>
      <c r="F25" s="21"/>
      <c r="H25" s="181" t="s">
        <v>68</v>
      </c>
      <c r="I25" s="182"/>
      <c r="J25" s="182"/>
      <c r="K25" s="42">
        <f>(J18^2-J19^2)/J19^2</f>
        <v>0.006719218798045909</v>
      </c>
    </row>
    <row r="26" spans="2:11" ht="16.5">
      <c r="B26" s="119" t="s">
        <v>34</v>
      </c>
      <c r="C26" s="183">
        <f>-rho/(2*K21^2*E22^2)*TAN(E19/rho)*(1+E23)</f>
        <v>-0.007942117216231472</v>
      </c>
      <c r="D26" s="184"/>
      <c r="E26" s="49">
        <f>E13^2*C26</f>
        <v>-0.0071590672092074455</v>
      </c>
      <c r="F26" s="4"/>
      <c r="H26" s="39" t="s">
        <v>23</v>
      </c>
      <c r="I26" s="40"/>
      <c r="J26" s="40"/>
      <c r="K26" s="43">
        <f>J18^2/J19</f>
        <v>6398786.8480706075</v>
      </c>
    </row>
    <row r="27" spans="2:11" ht="16.5">
      <c r="B27" s="119" t="s">
        <v>35</v>
      </c>
      <c r="C27" s="183">
        <f>rho/(24*K21^4*E22^4)*TAN(E19/rho)*(5+3*TAN(E19/rho)^2+6*E23*(1-TAN(E19/rho)^2))</f>
        <v>1.4249296741131248E-06</v>
      </c>
      <c r="D27" s="184"/>
      <c r="E27" s="125">
        <f>E13^4*C27</f>
        <v>1.1578004792833303E-06</v>
      </c>
      <c r="F27" s="22"/>
      <c r="H27" s="173" t="s">
        <v>28</v>
      </c>
      <c r="I27" s="174"/>
      <c r="J27" s="44" t="s">
        <v>8</v>
      </c>
      <c r="K27" s="45">
        <f>K26/rho*(1-3/4*K25+45/64*K25^2-175/256*K25^3+11025/16384*K25^4)</f>
        <v>111120.61960584903</v>
      </c>
    </row>
    <row r="28" spans="2:11" ht="17.25" thickBot="1">
      <c r="B28" s="119" t="s">
        <v>36</v>
      </c>
      <c r="C28" s="185">
        <f>-rho/(720*K21^6*E22^6)*TAN(E19/rho)*(61+90*TAN(E19/rho)^2+45*TAN(E19/rho)^4)</f>
        <v>-3.2807186701162174E-10</v>
      </c>
      <c r="D28" s="186"/>
      <c r="E28" s="126">
        <f>E13^6*C28</f>
        <v>-2.4028653319973236E-10</v>
      </c>
      <c r="F28" s="23"/>
      <c r="H28" s="175"/>
      <c r="I28" s="176"/>
      <c r="J28" s="46" t="s">
        <v>29</v>
      </c>
      <c r="K28" s="45">
        <f>rho*(3/8*$K$25-3/16*$K$25^2+213/2048*$K$25^3)</f>
        <v>0.14388536520512377</v>
      </c>
    </row>
    <row r="29" spans="2:11" ht="17.25" thickTop="1">
      <c r="B29" s="171" t="s">
        <v>46</v>
      </c>
      <c r="C29" s="187"/>
      <c r="D29" s="188"/>
      <c r="E29" s="127">
        <f>SUM(E26:E28)</f>
        <v>-0.007157909649014695</v>
      </c>
      <c r="F29" s="18"/>
      <c r="H29" s="175"/>
      <c r="I29" s="176"/>
      <c r="J29" s="47" t="s">
        <v>30</v>
      </c>
      <c r="K29" s="45">
        <f>rho*(21/256*$K$25^2-21/256*$K$25^3)</f>
        <v>0.0002107713420461058</v>
      </c>
    </row>
    <row r="30" spans="2:11" ht="16.5">
      <c r="B30" s="51"/>
      <c r="C30" s="128"/>
      <c r="D30" s="50" t="s">
        <v>13</v>
      </c>
      <c r="E30" s="129">
        <f>E19+E29</f>
        <v>48.44595431226877</v>
      </c>
      <c r="F30" s="5"/>
      <c r="H30" s="177"/>
      <c r="I30" s="178"/>
      <c r="J30" s="48" t="s">
        <v>31</v>
      </c>
      <c r="K30" s="45">
        <f>rho*(151/6144*$K$25^3)</f>
        <v>4.271739124795917E-07</v>
      </c>
    </row>
    <row r="31" spans="2:6" ht="12.75">
      <c r="B31" s="112"/>
      <c r="C31" s="112"/>
      <c r="D31" s="112"/>
      <c r="E31" s="112"/>
      <c r="F31" s="4"/>
    </row>
    <row r="32" spans="2:7" ht="12.75">
      <c r="B32" s="189" t="s">
        <v>37</v>
      </c>
      <c r="C32" s="189"/>
      <c r="D32" s="189"/>
      <c r="E32" s="124" t="s">
        <v>47</v>
      </c>
      <c r="F32" s="4"/>
      <c r="G32" s="4"/>
    </row>
    <row r="33" spans="2:7" ht="16.5">
      <c r="B33" s="119" t="s">
        <v>38</v>
      </c>
      <c r="C33" s="196">
        <f>rho/(K21*E22*COS(E19/rho))</f>
        <v>1.3520722491729145</v>
      </c>
      <c r="D33" s="197"/>
      <c r="E33" s="49">
        <f>C33*E13</f>
        <v>-1.2836894521712594</v>
      </c>
      <c r="F33" s="4"/>
      <c r="G33" s="4"/>
    </row>
    <row r="34" spans="2:7" ht="16.5">
      <c r="B34" s="119" t="s">
        <v>39</v>
      </c>
      <c r="C34" s="185">
        <f>-rho/(6*K21^3*E22^3*COS(E19/rho))*(1+2*TAN(E19/rho)^2+E23)</f>
        <v>-0.00019594022605508204</v>
      </c>
      <c r="D34" s="186"/>
      <c r="E34" s="49">
        <f>E13^3*C34</f>
        <v>0.00016768871064780177</v>
      </c>
      <c r="G34" s="4"/>
    </row>
    <row r="35" spans="2:5" ht="17.25" thickBot="1">
      <c r="B35" s="119" t="s">
        <v>40</v>
      </c>
      <c r="C35" s="185">
        <f>rho/(120*K21^5*E22^5*COS(E19/rho))*(5+28*TAN(E19/rho)^2+24*TAN(E19/rho)^4)</f>
        <v>5.3794008634577306E-08</v>
      </c>
      <c r="D35" s="186"/>
      <c r="E35" s="52">
        <f>E13^5*C35</f>
        <v>-4.149867937003749E-08</v>
      </c>
    </row>
    <row r="36" spans="2:5" ht="13.5" thickTop="1">
      <c r="B36" s="171" t="s">
        <v>4</v>
      </c>
      <c r="C36" s="187"/>
      <c r="D36" s="188"/>
      <c r="E36" s="53">
        <f>SUM(E33:E35)</f>
        <v>-1.283521804959291</v>
      </c>
    </row>
    <row r="37" spans="2:5" ht="12.75">
      <c r="B37" s="112"/>
      <c r="C37" s="112"/>
      <c r="D37" s="50" t="s">
        <v>14</v>
      </c>
      <c r="E37" s="130">
        <f>D15+E36</f>
        <v>10.71647819504071</v>
      </c>
    </row>
    <row r="38" spans="2:5" ht="12.75">
      <c r="B38" s="89"/>
      <c r="C38" s="89"/>
      <c r="D38" s="89"/>
      <c r="E38" s="89"/>
    </row>
    <row r="53" spans="2:5" ht="12.75">
      <c r="B53" s="36"/>
      <c r="C53" s="36"/>
      <c r="D53" s="51"/>
      <c r="E53" s="54"/>
    </row>
  </sheetData>
  <sheetProtection/>
  <mergeCells count="26">
    <mergeCell ref="H19:I19"/>
    <mergeCell ref="B2:F2"/>
    <mergeCell ref="B3:F3"/>
    <mergeCell ref="B5:F7"/>
    <mergeCell ref="H2:J2"/>
    <mergeCell ref="H10:K10"/>
    <mergeCell ref="H17:K17"/>
    <mergeCell ref="H18:I18"/>
    <mergeCell ref="B21:E21"/>
    <mergeCell ref="B36:D36"/>
    <mergeCell ref="B10:E10"/>
    <mergeCell ref="C35:D35"/>
    <mergeCell ref="C34:D34"/>
    <mergeCell ref="C33:D33"/>
    <mergeCell ref="B32:D32"/>
    <mergeCell ref="C26:D26"/>
    <mergeCell ref="B22:D22"/>
    <mergeCell ref="H23:K23"/>
    <mergeCell ref="B23:D23"/>
    <mergeCell ref="H27:I30"/>
    <mergeCell ref="H24:J24"/>
    <mergeCell ref="H25:J25"/>
    <mergeCell ref="C27:D27"/>
    <mergeCell ref="C28:D28"/>
    <mergeCell ref="B29:D29"/>
    <mergeCell ref="B25:D2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&amp;CBerechnung ellipsoidischer Koordinaten aus GK Koordinaten (Bessel Ellipsoid)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5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1" width="6.421875" style="0" customWidth="1"/>
    <col min="2" max="2" width="15.28125" style="0" customWidth="1"/>
    <col min="3" max="3" width="16.00390625" style="0" customWidth="1"/>
    <col min="4" max="4" width="13.7109375" style="0" customWidth="1"/>
    <col min="5" max="6" width="16.7109375" style="0" customWidth="1"/>
    <col min="7" max="7" width="10.8515625" style="0" customWidth="1"/>
    <col min="8" max="8" width="13.7109375" style="0" customWidth="1"/>
    <col min="9" max="10" width="17.57421875" style="0" customWidth="1"/>
    <col min="11" max="11" width="18.140625" style="0" customWidth="1"/>
  </cols>
  <sheetData>
    <row r="1" ht="12.75" thickBot="1"/>
    <row r="2" spans="2:10" ht="15.75" thickBot="1">
      <c r="B2" s="202" t="s">
        <v>63</v>
      </c>
      <c r="C2" s="203"/>
      <c r="D2" s="203"/>
      <c r="E2" s="203"/>
      <c r="F2" s="204"/>
      <c r="G2" s="74"/>
      <c r="H2" s="251" t="s">
        <v>72</v>
      </c>
      <c r="I2" s="252"/>
      <c r="J2" s="74"/>
    </row>
    <row r="3" spans="2:9" ht="16.5" thickBot="1" thickTop="1">
      <c r="B3" s="205" t="str">
        <f>CONCATENATE("Ausgewähltes Ellipsoid:   ",I7)</f>
        <v>Ausgewähltes Ellipsoid:   Bessel 1841</v>
      </c>
      <c r="C3" s="206"/>
      <c r="D3" s="206"/>
      <c r="E3" s="206"/>
      <c r="F3" s="207"/>
      <c r="G3" s="74"/>
      <c r="H3" s="151"/>
      <c r="I3" s="152"/>
    </row>
    <row r="4" spans="2:11" ht="17.25" customHeight="1">
      <c r="B4" s="21"/>
      <c r="C4" s="21"/>
      <c r="D4" s="21"/>
      <c r="E4" s="21"/>
      <c r="F4" s="21"/>
      <c r="G4" s="21"/>
      <c r="H4" s="153"/>
      <c r="I4" s="154"/>
      <c r="J4" s="155"/>
      <c r="K4" s="135"/>
    </row>
    <row r="5" spans="2:10" ht="12.75" customHeight="1">
      <c r="B5" s="208" t="s">
        <v>62</v>
      </c>
      <c r="C5" s="208"/>
      <c r="D5" s="208"/>
      <c r="E5" s="208"/>
      <c r="F5" s="208"/>
      <c r="G5" s="75"/>
      <c r="H5" s="144"/>
      <c r="I5" s="159">
        <v>1</v>
      </c>
      <c r="J5" s="156"/>
    </row>
    <row r="6" spans="2:10" ht="12.75" customHeight="1">
      <c r="B6" s="209"/>
      <c r="C6" s="209"/>
      <c r="D6" s="209"/>
      <c r="E6" s="209"/>
      <c r="F6" s="209"/>
      <c r="G6" s="75"/>
      <c r="H6" s="144"/>
      <c r="I6" s="158"/>
      <c r="J6" s="156"/>
    </row>
    <row r="7" spans="2:9" ht="12.75" customHeight="1" thickBot="1">
      <c r="B7" s="209"/>
      <c r="C7" s="209"/>
      <c r="D7" s="209"/>
      <c r="E7" s="209"/>
      <c r="F7" s="209"/>
      <c r="G7" s="75"/>
      <c r="H7" s="145"/>
      <c r="I7" s="160" t="str">
        <f>IF(I5=1,"Bessel 1841",IF(I5=2,"GRS 80",IF(I5=3,"Hayford",IF(I5=4,"Krassowski"))))</f>
        <v>Bessel 1841</v>
      </c>
    </row>
    <row r="8" spans="2:10" ht="12.75">
      <c r="B8" s="4"/>
      <c r="C8" s="4"/>
      <c r="D8" s="4"/>
      <c r="E8" s="4"/>
      <c r="F8" s="4"/>
      <c r="G8" s="4"/>
      <c r="H8" s="4"/>
      <c r="I8" s="4"/>
      <c r="J8" s="157"/>
    </row>
    <row r="9" spans="7:10" ht="12.75" thickBot="1">
      <c r="G9" s="86"/>
      <c r="J9" s="156"/>
    </row>
    <row r="10" spans="2:11" ht="14.25">
      <c r="B10" s="248" t="s">
        <v>66</v>
      </c>
      <c r="C10" s="249"/>
      <c r="D10" s="249"/>
      <c r="E10" s="250"/>
      <c r="F10" s="61">
        <f>180/PI()</f>
        <v>57.29577951308232</v>
      </c>
      <c r="H10" s="242" t="s">
        <v>55</v>
      </c>
      <c r="I10" s="243"/>
      <c r="J10" s="243"/>
      <c r="K10" s="244"/>
    </row>
    <row r="11" spans="2:11" ht="13.5" thickBot="1">
      <c r="B11" s="58"/>
      <c r="C11" s="57" t="s">
        <v>48</v>
      </c>
      <c r="D11" s="57" t="s">
        <v>49</v>
      </c>
      <c r="E11" s="59" t="s">
        <v>50</v>
      </c>
      <c r="F11" s="131"/>
      <c r="G11" s="87"/>
      <c r="H11" s="245"/>
      <c r="I11" s="246"/>
      <c r="J11" s="246"/>
      <c r="K11" s="247"/>
    </row>
    <row r="12" spans="2:11" ht="16.5" thickBot="1" thickTop="1">
      <c r="B12" s="70" t="s">
        <v>14</v>
      </c>
      <c r="C12" s="76">
        <v>10</v>
      </c>
      <c r="D12" s="77">
        <v>55</v>
      </c>
      <c r="E12" s="78">
        <v>59.32151</v>
      </c>
      <c r="F12" s="60">
        <f>C12+D12/60+E12/3600</f>
        <v>10.933144863888888</v>
      </c>
      <c r="H12" s="82" t="s">
        <v>52</v>
      </c>
      <c r="I12" s="83">
        <f>E28+500000+D15/3*1000000</f>
        <v>4421084.264399682</v>
      </c>
      <c r="J12" s="84" t="s">
        <v>53</v>
      </c>
      <c r="K12" s="85">
        <f>E35</f>
        <v>5368017.221833099</v>
      </c>
    </row>
    <row r="13" spans="2:6" ht="15.75" thickBot="1">
      <c r="B13" s="71" t="s">
        <v>13</v>
      </c>
      <c r="C13" s="79">
        <v>48</v>
      </c>
      <c r="D13" s="80">
        <v>26</v>
      </c>
      <c r="E13" s="81">
        <v>45.43552</v>
      </c>
      <c r="F13" s="60">
        <f>C13+D13/60+E13/3600</f>
        <v>48.44595431111111</v>
      </c>
    </row>
    <row r="14" ht="12.75">
      <c r="G14" s="32"/>
    </row>
    <row r="15" spans="2:7" ht="15.75" thickBot="1">
      <c r="B15" s="68" t="s">
        <v>3</v>
      </c>
      <c r="C15" s="69"/>
      <c r="D15" s="133">
        <v>12</v>
      </c>
      <c r="E15" s="33" t="s">
        <v>12</v>
      </c>
      <c r="F15" s="4" t="str">
        <f>IF(ABS(D16)&gt;1.5,"Bezugsmeridian ??"," ")</f>
        <v> </v>
      </c>
      <c r="G15" s="32"/>
    </row>
    <row r="16" spans="2:11" ht="13.5" thickBot="1">
      <c r="B16" s="224" t="s">
        <v>4</v>
      </c>
      <c r="C16" s="225"/>
      <c r="D16" s="132">
        <f>F12-D15</f>
        <v>-1.066855136111112</v>
      </c>
      <c r="E16" s="34" t="s">
        <v>12</v>
      </c>
      <c r="G16" s="88"/>
      <c r="H16" s="228" t="str">
        <f>CONCATENATE("Elliosoidparameter (",I7," )")</f>
        <v>Elliosoidparameter (Bessel 1841 )</v>
      </c>
      <c r="I16" s="229"/>
      <c r="J16" s="229"/>
      <c r="K16" s="230"/>
    </row>
    <row r="17" spans="7:11" ht="13.5" thickTop="1">
      <c r="G17" s="89"/>
      <c r="H17" s="164" t="s">
        <v>0</v>
      </c>
      <c r="I17" s="165"/>
      <c r="J17" s="149">
        <f>IF(I5=1,Ellipsoidparameter!C5,IF(I5=2,Ellipsoidparameter!C7,IF(I5=3,Ellipsoidparameter!C8,IF(I5=4,Ellipsoidparameter!C6))))</f>
        <v>6377397.155</v>
      </c>
      <c r="K17" s="161" t="s">
        <v>1</v>
      </c>
    </row>
    <row r="18" spans="2:11" ht="13.5" thickBot="1">
      <c r="B18" s="221" t="s">
        <v>15</v>
      </c>
      <c r="C18" s="222"/>
      <c r="D18" s="222"/>
      <c r="E18" s="223"/>
      <c r="G18" s="4"/>
      <c r="H18" s="166" t="s">
        <v>2</v>
      </c>
      <c r="I18" s="167"/>
      <c r="J18" s="162">
        <f>IF(I5=1,Ellipsoidparameter!D5,IF(I5=2,Ellipsoidparameter!D7,IF(I5=3,Ellipsoidparameter!D8,IF(I5=4,Ellipsoidparameter!D6))))</f>
        <v>6356078.962821752</v>
      </c>
      <c r="K18" s="163" t="s">
        <v>1</v>
      </c>
    </row>
    <row r="19" spans="2:11" ht="12.75" thickTop="1">
      <c r="B19" s="62" t="s">
        <v>25</v>
      </c>
      <c r="C19" s="63"/>
      <c r="D19" s="8"/>
      <c r="E19" s="24">
        <f>K25/SQRT(1+E21)</f>
        <v>6389348.867359325</v>
      </c>
      <c r="F19" s="21"/>
      <c r="H19" s="2"/>
      <c r="I19" s="2"/>
      <c r="J19" s="3"/>
      <c r="K19" s="4"/>
    </row>
    <row r="20" spans="2:11" ht="12.75">
      <c r="B20" s="64" t="s">
        <v>26</v>
      </c>
      <c r="C20" s="65"/>
      <c r="D20" s="7"/>
      <c r="E20" s="26">
        <f>K26*F13+K27*SIN((2*F13)/rho)+K28*SIN((4*F13)/rho)+K29*SIN((6*F13)/rho)</f>
        <v>5367467.385412965</v>
      </c>
      <c r="F20" s="3"/>
      <c r="H20" s="64" t="s">
        <v>54</v>
      </c>
      <c r="I20" s="65"/>
      <c r="J20" s="65"/>
      <c r="K20" s="26">
        <v>1</v>
      </c>
    </row>
    <row r="21" spans="2:6" ht="15">
      <c r="B21" s="66" t="s">
        <v>27</v>
      </c>
      <c r="C21" s="67"/>
      <c r="D21" s="6"/>
      <c r="E21" s="25">
        <f>(K24*COS(F13/rho)^2)</f>
        <v>0.002956467561878142</v>
      </c>
      <c r="F21" s="4"/>
    </row>
    <row r="22" spans="6:11" ht="12.75" thickBot="1">
      <c r="F22" s="4"/>
      <c r="H22" s="221" t="s">
        <v>5</v>
      </c>
      <c r="I22" s="222"/>
      <c r="J22" s="222"/>
      <c r="K22" s="223"/>
    </row>
    <row r="23" spans="8:11" ht="15" thickTop="1">
      <c r="H23" s="226" t="s">
        <v>21</v>
      </c>
      <c r="I23" s="227"/>
      <c r="J23" s="227"/>
      <c r="K23" s="27">
        <f>((J17^2-J18^2)/J17^2)</f>
        <v>0.006674372230688312</v>
      </c>
    </row>
    <row r="24" spans="2:11" ht="24.75">
      <c r="B24" s="73" t="s">
        <v>56</v>
      </c>
      <c r="C24" s="73"/>
      <c r="D24" s="73"/>
      <c r="E24" s="11" t="s">
        <v>58</v>
      </c>
      <c r="H24" s="233" t="s">
        <v>22</v>
      </c>
      <c r="I24" s="234"/>
      <c r="J24" s="234"/>
      <c r="K24" s="28">
        <f>(J17^2-J18^2)/J18^2</f>
        <v>0.006719218798045909</v>
      </c>
    </row>
    <row r="25" spans="2:11" ht="16.5">
      <c r="B25" s="12" t="s">
        <v>16</v>
      </c>
      <c r="C25" s="72">
        <f>K20/rho*E19*COS(F13/rho)</f>
        <v>73970.93989201152</v>
      </c>
      <c r="D25" s="72"/>
      <c r="E25" s="13">
        <f>C25*D16</f>
        <v>-78916.27714675883</v>
      </c>
      <c r="H25" s="233" t="s">
        <v>23</v>
      </c>
      <c r="I25" s="234"/>
      <c r="J25" s="234"/>
      <c r="K25" s="29">
        <f>J17^2/J18</f>
        <v>6398786.8480706075</v>
      </c>
    </row>
    <row r="26" spans="2:11" ht="16.5">
      <c r="B26" s="12" t="s">
        <v>6</v>
      </c>
      <c r="C26" s="72">
        <f>K20/(6*rho^3)*E19*COS(F13/rho)^3*(1-TAN(F13/rho)^2+E21)</f>
        <v>-0.44575880644110294</v>
      </c>
      <c r="D26" s="72"/>
      <c r="E26" s="14">
        <f>C26*D16^3</f>
        <v>0.541272906504542</v>
      </c>
      <c r="F26" s="1"/>
      <c r="H26" s="235" t="s">
        <v>24</v>
      </c>
      <c r="I26" s="236"/>
      <c r="J26" s="9" t="s">
        <v>8</v>
      </c>
      <c r="K26" s="30">
        <f>K25/rho*(1-3/4*K24+45/64*K24^2-175/256*K24^3+11025/16384*K24^4)</f>
        <v>111120.61960584903</v>
      </c>
    </row>
    <row r="27" spans="2:11" ht="17.25" thickBot="1">
      <c r="B27" s="12" t="s">
        <v>7</v>
      </c>
      <c r="C27" s="72">
        <f>K20/(120*rho^5)*E19*COS(F13/rho)^5*(5-18*TAN(F13/rho)^2+TAN(F12/rho)^4+E21*(14-58*TAN(F12/rho)^2))</f>
        <v>-0.0001979176650448844</v>
      </c>
      <c r="D27" s="72"/>
      <c r="E27" s="15">
        <f>C27*D16^5</f>
        <v>0.0002735343174901909</v>
      </c>
      <c r="H27" s="237"/>
      <c r="I27" s="238"/>
      <c r="J27" s="10" t="s">
        <v>9</v>
      </c>
      <c r="K27" s="30">
        <f>K25*(-3/8*K24+15/32*K24^2-525/1024*K24^3+2205/4096*K24^4)</f>
        <v>-15988.6384835527</v>
      </c>
    </row>
    <row r="28" spans="2:11" ht="17.25" thickTop="1">
      <c r="B28" s="232" t="s">
        <v>60</v>
      </c>
      <c r="C28" s="232"/>
      <c r="D28" s="232"/>
      <c r="E28" s="19">
        <f>SUM(E25:E27)</f>
        <v>-78915.73560031802</v>
      </c>
      <c r="H28" s="237"/>
      <c r="I28" s="238"/>
      <c r="J28" s="10" t="s">
        <v>10</v>
      </c>
      <c r="K28" s="30">
        <f>K25*(15/256*K24^2-105/1024*K24^3+2205/16384*K24^4)</f>
        <v>16.729967695608416</v>
      </c>
    </row>
    <row r="29" spans="8:11" ht="16.5">
      <c r="H29" s="239"/>
      <c r="I29" s="240"/>
      <c r="J29" s="31" t="s">
        <v>11</v>
      </c>
      <c r="K29" s="29">
        <f>K25*(-35/3072*K24^3+315/12288*K24^4)</f>
        <v>-0.021781356318340755</v>
      </c>
    </row>
    <row r="30" spans="2:5" ht="24.75">
      <c r="B30" s="231" t="s">
        <v>57</v>
      </c>
      <c r="C30" s="231"/>
      <c r="D30" s="231"/>
      <c r="E30" s="11" t="s">
        <v>59</v>
      </c>
    </row>
    <row r="31" spans="2:5" ht="16.5">
      <c r="B31" s="12" t="s">
        <v>17</v>
      </c>
      <c r="C31" s="241">
        <f>E20*K20</f>
        <v>5367467.385412965</v>
      </c>
      <c r="D31" s="241"/>
      <c r="E31" s="16">
        <f>C31</f>
        <v>5367467.385412965</v>
      </c>
    </row>
    <row r="32" spans="2:5" ht="16.5">
      <c r="B32" s="12" t="s">
        <v>18</v>
      </c>
      <c r="C32" s="232">
        <f>K20/(2*rho^2)*E19*COS(F13/rho)^2*TAN(F13/rho)</f>
        <v>483.0608829382608</v>
      </c>
      <c r="D32" s="232"/>
      <c r="E32" s="16">
        <f>C32*D16^2</f>
        <v>549.8101784741883</v>
      </c>
    </row>
    <row r="33" spans="2:5" ht="16.5">
      <c r="B33" s="12" t="s">
        <v>19</v>
      </c>
      <c r="C33" s="232">
        <f>K20/(24*rho^4)*E19*COS(F13/rho)^4*TAN(F13/rho)*(5-TAN(F13/rho)^2+9*E21)</f>
        <v>0.02025401805721765</v>
      </c>
      <c r="D33" s="232"/>
      <c r="E33" s="16">
        <f>C33*D16^4</f>
        <v>0.026238137417286006</v>
      </c>
    </row>
    <row r="34" spans="2:5" ht="17.25" thickBot="1">
      <c r="B34" s="12" t="s">
        <v>20</v>
      </c>
      <c r="C34" s="232">
        <f>K20/(720*rho^6)*E19*COS(C12/rho)^6*TAN(C12/rho)*(61-58*TAN(C12/rho)^2+TAN(C12/rho)^4)</f>
        <v>2.388473896568164E-06</v>
      </c>
      <c r="D34" s="232"/>
      <c r="E34" s="17">
        <f>C34*D16^6</f>
        <v>3.521706942066089E-06</v>
      </c>
    </row>
    <row r="35" spans="2:5" ht="12.75" thickTop="1">
      <c r="B35" s="232" t="s">
        <v>61</v>
      </c>
      <c r="C35" s="232"/>
      <c r="D35" s="232"/>
      <c r="E35" s="20">
        <f>SUM(E31:E34)</f>
        <v>5368017.221833099</v>
      </c>
    </row>
  </sheetData>
  <sheetProtection/>
  <mergeCells count="21">
    <mergeCell ref="H10:K11"/>
    <mergeCell ref="B10:E10"/>
    <mergeCell ref="H2:I2"/>
    <mergeCell ref="B35:D35"/>
    <mergeCell ref="C31:D31"/>
    <mergeCell ref="C32:D32"/>
    <mergeCell ref="C33:D33"/>
    <mergeCell ref="C34:D34"/>
    <mergeCell ref="B2:F2"/>
    <mergeCell ref="B3:F3"/>
    <mergeCell ref="B5:F7"/>
    <mergeCell ref="B18:E18"/>
    <mergeCell ref="B16:C16"/>
    <mergeCell ref="H23:J23"/>
    <mergeCell ref="H22:K22"/>
    <mergeCell ref="H16:K16"/>
    <mergeCell ref="B30:D30"/>
    <mergeCell ref="B28:D28"/>
    <mergeCell ref="H24:J24"/>
    <mergeCell ref="H25:J25"/>
    <mergeCell ref="H26:I29"/>
  </mergeCells>
  <conditionalFormatting sqref="D16">
    <cfRule type="cellIs" priority="1" dxfId="0" operator="between" stopIfTrue="1">
      <formula>-1.5</formula>
      <formula>1.5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&amp;CGK-Koordinaten aus ellipsoidischen Koordinaten &amp;R&amp;P / &amp;N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9"/>
  <sheetViews>
    <sheetView zoomScalePageLayoutView="0" workbookViewId="0" topLeftCell="A1">
      <selection activeCell="B21" sqref="B21"/>
    </sheetView>
  </sheetViews>
  <sheetFormatPr defaultColWidth="11.421875" defaultRowHeight="12.75"/>
  <cols>
    <col min="2" max="2" width="14.421875" style="0" customWidth="1"/>
    <col min="3" max="3" width="18.28125" style="0" customWidth="1"/>
    <col min="4" max="5" width="19.28125" style="0" customWidth="1"/>
  </cols>
  <sheetData>
    <row r="4" spans="3:5" ht="12.75">
      <c r="C4" t="s">
        <v>73</v>
      </c>
      <c r="D4" t="s">
        <v>77</v>
      </c>
      <c r="E4" t="s">
        <v>76</v>
      </c>
    </row>
    <row r="5" spans="2:5" ht="14.25">
      <c r="B5" t="s">
        <v>69</v>
      </c>
      <c r="C5" s="136">
        <v>6377397.155</v>
      </c>
      <c r="D5" s="137">
        <f>(C5*E5-C5)/E5</f>
        <v>6356078.962821752</v>
      </c>
      <c r="E5" s="136">
        <v>299.15281285</v>
      </c>
    </row>
    <row r="6" spans="2:5" ht="12.75">
      <c r="B6" t="s">
        <v>70</v>
      </c>
      <c r="C6" s="137">
        <v>6378245</v>
      </c>
      <c r="D6" s="137">
        <f>(C6*E6-C6)/E6</f>
        <v>6356863.018773047</v>
      </c>
      <c r="E6" s="137">
        <v>298.3</v>
      </c>
    </row>
    <row r="7" spans="2:5" ht="14.25">
      <c r="B7" t="s">
        <v>71</v>
      </c>
      <c r="C7" s="136">
        <v>6378137</v>
      </c>
      <c r="D7" s="137">
        <f>(C7*E7-C7)/E7</f>
        <v>6356752.314140356</v>
      </c>
      <c r="E7" s="136">
        <v>298.257222101</v>
      </c>
    </row>
    <row r="8" spans="2:5" ht="14.25">
      <c r="B8" t="s">
        <v>74</v>
      </c>
      <c r="C8" s="136">
        <v>6378388</v>
      </c>
      <c r="D8" s="137">
        <f>(C8*E8-C8)/E8</f>
        <v>6356911.9461279465</v>
      </c>
      <c r="E8" s="136">
        <v>297</v>
      </c>
    </row>
    <row r="9" spans="2:5" ht="14.25">
      <c r="B9" s="134" t="s">
        <v>75</v>
      </c>
      <c r="C9" s="136">
        <v>6378249.2</v>
      </c>
      <c r="D9" s="137">
        <f>(C9*E9-C9)/E9</f>
        <v>6356515.000000471</v>
      </c>
      <c r="E9" s="136">
        <v>293.4660213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2010-03-21T08:40:41Z</cp:lastPrinted>
  <dcterms:created xsi:type="dcterms:W3CDTF">2005-02-11T16:32:57Z</dcterms:created>
  <dcterms:modified xsi:type="dcterms:W3CDTF">2011-07-15T13:48:16Z</dcterms:modified>
  <cp:category/>
  <cp:version/>
  <cp:contentType/>
  <cp:contentStatus/>
</cp:coreProperties>
</file>