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3" windowWidth="14720" windowHeight="8707" activeTab="1"/>
  </bookViews>
  <sheets>
    <sheet name="Ellipsoidisch - UTM" sheetId="1" r:id="rId1"/>
    <sheet name=" UTM-ellipsoidisch" sheetId="2" r:id="rId2"/>
    <sheet name="Ellipsoidparameter" sheetId="3" r:id="rId3"/>
  </sheets>
  <definedNames>
    <definedName name="rho">'Ellipsoidisch - UTM'!$H$5</definedName>
  </definedNames>
  <calcPr fullCalcOnLoad="1"/>
</workbook>
</file>

<file path=xl/sharedStrings.xml><?xml version="1.0" encoding="utf-8"?>
<sst xmlns="http://schemas.openxmlformats.org/spreadsheetml/2006/main" count="115" uniqueCount="83">
  <si>
    <t>Große Halbachse a</t>
  </si>
  <si>
    <t>m</t>
  </si>
  <si>
    <t>Kleine Halbachse b</t>
  </si>
  <si>
    <t>Bezugsmeridian</t>
  </si>
  <si>
    <t>Dl</t>
  </si>
  <si>
    <t>Abgeleitete Konstanten</t>
  </si>
  <si>
    <r>
      <t>{3}</t>
    </r>
    <r>
      <rPr>
        <vertAlign val="subscript"/>
        <sz val="10"/>
        <rFont val="Arial"/>
        <family val="2"/>
      </rPr>
      <t>y</t>
    </r>
  </si>
  <si>
    <r>
      <t>{5}</t>
    </r>
    <r>
      <rPr>
        <vertAlign val="subscript"/>
        <sz val="10"/>
        <rFont val="Arial"/>
        <family val="2"/>
      </rPr>
      <t>y</t>
    </r>
  </si>
  <si>
    <r>
      <t>E</t>
    </r>
    <r>
      <rPr>
        <vertAlign val="subscript"/>
        <sz val="10"/>
        <rFont val="Arial"/>
        <family val="2"/>
      </rPr>
      <t>0</t>
    </r>
  </si>
  <si>
    <r>
      <t>E</t>
    </r>
    <r>
      <rPr>
        <vertAlign val="subscript"/>
        <sz val="10"/>
        <rFont val="Arial"/>
        <family val="2"/>
      </rPr>
      <t>2</t>
    </r>
  </si>
  <si>
    <r>
      <t>E</t>
    </r>
    <r>
      <rPr>
        <vertAlign val="subscript"/>
        <sz val="10"/>
        <rFont val="Arial"/>
        <family val="2"/>
      </rPr>
      <t>4</t>
    </r>
  </si>
  <si>
    <r>
      <t>E</t>
    </r>
    <r>
      <rPr>
        <vertAlign val="subscript"/>
        <sz val="10"/>
        <rFont val="Arial"/>
        <family val="2"/>
      </rPr>
      <t>6</t>
    </r>
  </si>
  <si>
    <t>grad</t>
  </si>
  <si>
    <t>min</t>
  </si>
  <si>
    <t>sek</t>
  </si>
  <si>
    <t>Min</t>
  </si>
  <si>
    <t>j</t>
  </si>
  <si>
    <t>l</t>
  </si>
  <si>
    <t>Breitenabhängige Parameter</t>
  </si>
  <si>
    <r>
      <t>{1}</t>
    </r>
    <r>
      <rPr>
        <vertAlign val="subscript"/>
        <sz val="10"/>
        <rFont val="Arial"/>
        <family val="2"/>
      </rPr>
      <t>Y</t>
    </r>
  </si>
  <si>
    <t>UTM Zone</t>
  </si>
  <si>
    <r>
      <t>{0}</t>
    </r>
    <r>
      <rPr>
        <vertAlign val="subscript"/>
        <sz val="10"/>
        <rFont val="Arial"/>
        <family val="2"/>
      </rPr>
      <t>X</t>
    </r>
  </si>
  <si>
    <r>
      <t>{2}</t>
    </r>
    <r>
      <rPr>
        <vertAlign val="subscript"/>
        <sz val="10"/>
        <rFont val="Arial"/>
        <family val="2"/>
      </rPr>
      <t>X</t>
    </r>
  </si>
  <si>
    <r>
      <t>{4}</t>
    </r>
    <r>
      <rPr>
        <vertAlign val="subscript"/>
        <sz val="10"/>
        <rFont val="Arial"/>
        <family val="2"/>
      </rPr>
      <t>X</t>
    </r>
  </si>
  <si>
    <r>
      <t>{6}</t>
    </r>
    <r>
      <rPr>
        <vertAlign val="subscript"/>
        <sz val="10"/>
        <rFont val="Arial"/>
        <family val="2"/>
      </rPr>
      <t>X</t>
    </r>
  </si>
  <si>
    <r>
      <t>Quadrat der 1. Numerischen Exzentrizität     e</t>
    </r>
    <r>
      <rPr>
        <vertAlign val="superscript"/>
        <sz val="10"/>
        <rFont val="Arial"/>
        <family val="2"/>
      </rPr>
      <t>2</t>
    </r>
  </si>
  <si>
    <r>
      <t>Quadrat der 2. Numerische Exzenrizität       e´</t>
    </r>
    <r>
      <rPr>
        <vertAlign val="superscript"/>
        <sz val="10"/>
        <rFont val="Arial"/>
        <family val="2"/>
      </rPr>
      <t>2</t>
    </r>
  </si>
  <si>
    <t>Polkrümmungshalbmesser                          c</t>
  </si>
  <si>
    <t>UTM - Maßstabsfaktor am Hauptmeridian</t>
  </si>
  <si>
    <t>Koeffizienten zur Berechnung der Meridianbogenlänge</t>
  </si>
  <si>
    <t>Querkümmungshalbmesser     N</t>
  </si>
  <si>
    <t>Meridianbogenlänge                G</t>
  </si>
  <si>
    <t>Koeffizienten der Reihenentwicklung (Ost)</t>
  </si>
  <si>
    <t>Koeffizienten der Reihenentwicklung (Nord)</t>
  </si>
  <si>
    <t>Summe der Koordinatenanteile (Ost)</t>
  </si>
  <si>
    <t>Summe der Koordinatenanteile (Nord)</t>
  </si>
  <si>
    <t>UTM - Koordinaten</t>
  </si>
  <si>
    <t>Zone</t>
  </si>
  <si>
    <t>Koordinatenanteile (Ost)</t>
  </si>
  <si>
    <t>Koordinatenanteile (Nord)</t>
  </si>
  <si>
    <t>Ellipsoidische Koordinaten</t>
  </si>
  <si>
    <r>
      <t xml:space="preserve">                                                     h </t>
    </r>
    <r>
      <rPr>
        <vertAlign val="superscript"/>
        <sz val="10"/>
        <rFont val="Arial"/>
        <family val="2"/>
      </rPr>
      <t xml:space="preserve">2      </t>
    </r>
  </si>
  <si>
    <t>Koeffizienten zur Berechnung der Geographischen Breite aus Meridianbogenlänge</t>
  </si>
  <si>
    <r>
      <t>F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</si>
  <si>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0"/>
        <rFont val="Arial"/>
        <family val="2"/>
      </rPr>
      <t>4</t>
    </r>
  </si>
  <si>
    <r>
      <t>F</t>
    </r>
    <r>
      <rPr>
        <vertAlign val="subscript"/>
        <sz val="10"/>
        <rFont val="Arial"/>
        <family val="2"/>
      </rPr>
      <t>6</t>
    </r>
  </si>
  <si>
    <t>UTM Koordinaten</t>
  </si>
  <si>
    <t>Y</t>
  </si>
  <si>
    <t>Koeffizienten der Reihenentwicklung (Breite)</t>
  </si>
  <si>
    <r>
      <t>{2}</t>
    </r>
    <r>
      <rPr>
        <vertAlign val="subscript"/>
        <sz val="10"/>
        <rFont val="Arial"/>
        <family val="2"/>
      </rPr>
      <t>B</t>
    </r>
  </si>
  <si>
    <r>
      <t>{4}</t>
    </r>
    <r>
      <rPr>
        <vertAlign val="subscript"/>
        <sz val="10"/>
        <rFont val="Arial"/>
        <family val="2"/>
      </rPr>
      <t>B</t>
    </r>
  </si>
  <si>
    <r>
      <t>{6}</t>
    </r>
    <r>
      <rPr>
        <vertAlign val="subscript"/>
        <sz val="10"/>
        <rFont val="Arial"/>
        <family val="2"/>
      </rPr>
      <t>B</t>
    </r>
  </si>
  <si>
    <t>Koeffizienten der Reihenentwicklung (Länge)</t>
  </si>
  <si>
    <r>
      <t>[1]</t>
    </r>
    <r>
      <rPr>
        <vertAlign val="subscript"/>
        <sz val="10"/>
        <rFont val="Arial"/>
        <family val="2"/>
      </rPr>
      <t>L</t>
    </r>
  </si>
  <si>
    <r>
      <t>[3]</t>
    </r>
    <r>
      <rPr>
        <vertAlign val="subscript"/>
        <sz val="10"/>
        <rFont val="Arial"/>
        <family val="2"/>
      </rPr>
      <t>L</t>
    </r>
  </si>
  <si>
    <r>
      <t>[5</t>
    </r>
    <r>
      <rPr>
        <vertAlign val="subscript"/>
        <sz val="10"/>
        <rFont val="Arial"/>
        <family val="2"/>
      </rPr>
      <t>]L</t>
    </r>
  </si>
  <si>
    <t>Y [km]</t>
  </si>
  <si>
    <t>geographische Breite zur Meridianbogenlänge (1. Näherung)</t>
  </si>
  <si>
    <t xml:space="preserve">geographische Breite zur Meridianbogenlänge </t>
  </si>
  <si>
    <t>Querkümmungshalbmesser     N [100 km]</t>
  </si>
  <si>
    <t>Breitenanteile</t>
  </si>
  <si>
    <t>Dj</t>
  </si>
  <si>
    <t>Längenanteile</t>
  </si>
  <si>
    <t>Grad</t>
  </si>
  <si>
    <t>Minuten</t>
  </si>
  <si>
    <t>Sekunden</t>
  </si>
  <si>
    <t>Ellipsoidparameter</t>
  </si>
  <si>
    <t>E</t>
  </si>
  <si>
    <t>N</t>
  </si>
  <si>
    <r>
      <t xml:space="preserve">In den </t>
    </r>
    <r>
      <rPr>
        <b/>
        <sz val="12"/>
        <color indexed="13"/>
        <rFont val="Arial"/>
        <family val="2"/>
      </rPr>
      <t>gelb hinterlegten Zellen</t>
    </r>
    <r>
      <rPr>
        <b/>
        <sz val="12"/>
        <color indexed="9"/>
        <rFont val="Arial"/>
        <family val="2"/>
      </rPr>
      <t xml:space="preserve"> können die Parameter geändert werden.                                                                                                              Die Ergebnisse sind in den </t>
    </r>
    <r>
      <rPr>
        <b/>
        <sz val="12"/>
        <color indexed="11"/>
        <rFont val="Arial"/>
        <family val="2"/>
      </rPr>
      <t>grün hinterlegten Zellen</t>
    </r>
    <r>
      <rPr>
        <b/>
        <sz val="12"/>
        <color indexed="9"/>
        <rFont val="Arial"/>
        <family val="2"/>
      </rPr>
      <t xml:space="preserve"> dokumentiert.              </t>
    </r>
  </si>
  <si>
    <t>Berechnung von ellipsoidischen Koordinaten aus UTM  Koordinaten</t>
  </si>
  <si>
    <t>a</t>
  </si>
  <si>
    <t>b</t>
  </si>
  <si>
    <t>f</t>
  </si>
  <si>
    <t>Bessel 1841</t>
  </si>
  <si>
    <t>Krassowski</t>
  </si>
  <si>
    <t>GRS 80</t>
  </si>
  <si>
    <t>Hayford 1909</t>
  </si>
  <si>
    <t>Clarke 1880 IGN</t>
  </si>
  <si>
    <t>Ellipsoid Auswahl</t>
  </si>
  <si>
    <t>Berechnung von UTM Koordinaten aus ellipsoidischen Koordinaten</t>
  </si>
  <si>
    <t>Formelnachweis:</t>
  </si>
  <si>
    <t>Schödelbauer, A (1981): Rechenformeln und Rechenbeispiele zur Landesvermessung, Teil 1 und Teil 2, Herbert Wichmann Verlag Karlsruhe 1981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</si>
</sst>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"/>
    <numFmt numFmtId="165" formatCode="#,##0.0"/>
    <numFmt numFmtId="166" formatCode="#,##0.000"/>
    <numFmt numFmtId="167" formatCode="0.00000000"/>
    <numFmt numFmtId="168" formatCode="0.000000000"/>
    <numFmt numFmtId="169" formatCode="0.0000000"/>
    <numFmt numFmtId="170" formatCode="0.0000000000"/>
    <numFmt numFmtId="171" formatCode="0.000"/>
    <numFmt numFmtId="172" formatCode="0.0000"/>
    <numFmt numFmtId="173" formatCode="#,##0.0000"/>
    <numFmt numFmtId="174" formatCode="0.000000"/>
    <numFmt numFmtId="175" formatCode="0.00000"/>
    <numFmt numFmtId="176" formatCode="#,##0.00000000"/>
    <numFmt numFmtId="177" formatCode="##,\ ###,\ ###,###"/>
    <numFmt numFmtId="178" formatCode="##\ \ ###\ \ ###\ ###.000"/>
    <numFmt numFmtId="179" formatCode="#,##0.00000"/>
    <numFmt numFmtId="180" formatCode="#,##0.000000"/>
    <numFmt numFmtId="181" formatCode="#,##0.0000000"/>
    <numFmt numFmtId="182" formatCode="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55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Symbol"/>
      <family val="1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2"/>
      <color indexed="11"/>
      <name val="Arial"/>
      <family val="2"/>
    </font>
    <font>
      <b/>
      <sz val="11"/>
      <color indexed="10"/>
      <name val="Arial"/>
      <family val="0"/>
    </font>
    <font>
      <b/>
      <sz val="10"/>
      <color indexed="10"/>
      <name val="Arial"/>
      <family val="2"/>
    </font>
    <font>
      <b/>
      <sz val="12"/>
      <name val="Symbol"/>
      <family val="1"/>
    </font>
    <font>
      <sz val="12"/>
      <color indexed="9"/>
      <name val="Symbol"/>
      <family val="1"/>
    </font>
    <font>
      <sz val="10"/>
      <name val="Arial Unicode MS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/>
    </xf>
    <xf numFmtId="173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76" fontId="0" fillId="0" borderId="0" xfId="0" applyNumberFormat="1" applyBorder="1" applyAlignment="1">
      <alignment/>
    </xf>
    <xf numFmtId="173" fontId="0" fillId="0" borderId="18" xfId="0" applyNumberFormat="1" applyBorder="1" applyAlignment="1">
      <alignment horizontal="right"/>
    </xf>
    <xf numFmtId="166" fontId="0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13" xfId="0" applyFont="1" applyFill="1" applyBorder="1" applyAlignment="1">
      <alignment horizontal="center"/>
    </xf>
    <xf numFmtId="168" fontId="0" fillId="0" borderId="16" xfId="0" applyNumberFormat="1" applyBorder="1" applyAlignment="1">
      <alignment/>
    </xf>
    <xf numFmtId="164" fontId="0" fillId="0" borderId="18" xfId="0" applyNumberFormat="1" applyBorder="1" applyAlignment="1">
      <alignment horizontal="right"/>
    </xf>
    <xf numFmtId="164" fontId="0" fillId="0" borderId="16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0" fontId="0" fillId="0" borderId="0" xfId="0" applyAlignment="1">
      <alignment horizontal="left"/>
    </xf>
    <xf numFmtId="168" fontId="0" fillId="0" borderId="17" xfId="0" applyNumberForma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18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16" xfId="0" applyNumberFormat="1" applyBorder="1" applyAlignment="1">
      <alignment horizontal="right"/>
    </xf>
    <xf numFmtId="0" fontId="0" fillId="0" borderId="25" xfId="0" applyBorder="1" applyAlignment="1">
      <alignment/>
    </xf>
    <xf numFmtId="164" fontId="0" fillId="0" borderId="0" xfId="0" applyNumberForma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8" fontId="7" fillId="0" borderId="30" xfId="0" applyNumberFormat="1" applyFont="1" applyBorder="1" applyAlignment="1" applyProtection="1">
      <alignment/>
      <protection locked="0"/>
    </xf>
    <xf numFmtId="0" fontId="7" fillId="0" borderId="25" xfId="0" applyFont="1" applyBorder="1" applyAlignment="1">
      <alignment horizontal="center" vertical="center"/>
    </xf>
    <xf numFmtId="172" fontId="7" fillId="0" borderId="20" xfId="0" applyNumberFormat="1" applyFont="1" applyBorder="1" applyAlignment="1" applyProtection="1">
      <alignment/>
      <protection locked="0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4" xfId="0" applyFont="1" applyFill="1" applyBorder="1" applyAlignment="1">
      <alignment/>
    </xf>
    <xf numFmtId="166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168" fontId="0" fillId="0" borderId="33" xfId="0" applyNumberFormat="1" applyBorder="1" applyAlignment="1">
      <alignment/>
    </xf>
    <xf numFmtId="168" fontId="0" fillId="0" borderId="24" xfId="0" applyNumberFormat="1" applyBorder="1" applyAlignment="1">
      <alignment/>
    </xf>
    <xf numFmtId="166" fontId="0" fillId="0" borderId="34" xfId="0" applyNumberFormat="1" applyBorder="1" applyAlignment="1">
      <alignment/>
    </xf>
    <xf numFmtId="181" fontId="0" fillId="0" borderId="24" xfId="0" applyNumberFormat="1" applyBorder="1" applyAlignment="1">
      <alignment/>
    </xf>
    <xf numFmtId="0" fontId="0" fillId="0" borderId="12" xfId="0" applyFont="1" applyFill="1" applyBorder="1" applyAlignment="1">
      <alignment horizontal="center"/>
    </xf>
    <xf numFmtId="166" fontId="0" fillId="0" borderId="24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35" xfId="0" applyFont="1" applyFill="1" applyBorder="1" applyAlignment="1">
      <alignment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0" xfId="0" applyFont="1" applyBorder="1" applyAlignment="1">
      <alignment/>
    </xf>
    <xf numFmtId="178" fontId="15" fillId="33" borderId="38" xfId="0" applyNumberFormat="1" applyFont="1" applyFill="1" applyBorder="1" applyAlignment="1" applyProtection="1">
      <alignment/>
      <protection locked="0"/>
    </xf>
    <xf numFmtId="178" fontId="15" fillId="33" borderId="39" xfId="0" applyNumberFormat="1" applyFont="1" applyFill="1" applyBorder="1" applyAlignment="1" applyProtection="1">
      <alignment/>
      <protection locked="0"/>
    </xf>
    <xf numFmtId="0" fontId="2" fillId="0" borderId="4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73" fontId="2" fillId="33" borderId="15" xfId="0" applyNumberFormat="1" applyFont="1" applyFill="1" applyBorder="1" applyAlignment="1">
      <alignment/>
    </xf>
    <xf numFmtId="0" fontId="2" fillId="33" borderId="37" xfId="0" applyFont="1" applyFill="1" applyBorder="1" applyAlignment="1">
      <alignment/>
    </xf>
    <xf numFmtId="173" fontId="2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5" fillId="33" borderId="32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3" fontId="6" fillId="34" borderId="16" xfId="0" applyNumberFormat="1" applyFont="1" applyFill="1" applyBorder="1" applyAlignment="1">
      <alignment horizontal="right"/>
    </xf>
    <xf numFmtId="3" fontId="6" fillId="34" borderId="16" xfId="0" applyNumberFormat="1" applyFont="1" applyFill="1" applyBorder="1" applyAlignment="1">
      <alignment/>
    </xf>
    <xf numFmtId="175" fontId="6" fillId="34" borderId="42" xfId="0" applyNumberFormat="1" applyFont="1" applyFill="1" applyBorder="1" applyAlignment="1">
      <alignment/>
    </xf>
    <xf numFmtId="0" fontId="8" fillId="0" borderId="43" xfId="0" applyFont="1" applyBorder="1" applyAlignment="1">
      <alignment horizontal="right"/>
    </xf>
    <xf numFmtId="3" fontId="6" fillId="34" borderId="44" xfId="0" applyNumberFormat="1" applyFont="1" applyFill="1" applyBorder="1" applyAlignment="1">
      <alignment horizontal="right"/>
    </xf>
    <xf numFmtId="3" fontId="6" fillId="34" borderId="44" xfId="0" applyNumberFormat="1" applyFont="1" applyFill="1" applyBorder="1" applyAlignment="1">
      <alignment/>
    </xf>
    <xf numFmtId="175" fontId="6" fillId="34" borderId="45" xfId="0" applyNumberFormat="1" applyFont="1" applyFill="1" applyBorder="1" applyAlignment="1">
      <alignment/>
    </xf>
    <xf numFmtId="0" fontId="16" fillId="33" borderId="30" xfId="0" applyFont="1" applyFill="1" applyBorder="1" applyAlignment="1" applyProtection="1">
      <alignment/>
      <protection locked="0"/>
    </xf>
    <xf numFmtId="0" fontId="16" fillId="33" borderId="46" xfId="0" applyFont="1" applyFill="1" applyBorder="1" applyAlignment="1">
      <alignment/>
    </xf>
    <xf numFmtId="0" fontId="16" fillId="33" borderId="23" xfId="0" applyFont="1" applyFill="1" applyBorder="1" applyAlignment="1" applyProtection="1">
      <alignment/>
      <protection locked="0"/>
    </xf>
    <xf numFmtId="0" fontId="16" fillId="33" borderId="47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175" fontId="16" fillId="33" borderId="20" xfId="0" applyNumberFormat="1" applyFont="1" applyFill="1" applyBorder="1" applyAlignment="1" applyProtection="1">
      <alignment/>
      <protection locked="0"/>
    </xf>
    <xf numFmtId="0" fontId="16" fillId="33" borderId="48" xfId="0" applyFont="1" applyFill="1" applyBorder="1" applyAlignment="1">
      <alignment/>
    </xf>
    <xf numFmtId="0" fontId="16" fillId="33" borderId="49" xfId="0" applyFont="1" applyFill="1" applyBorder="1" applyAlignment="1">
      <alignment/>
    </xf>
    <xf numFmtId="0" fontId="16" fillId="33" borderId="39" xfId="0" applyFont="1" applyFill="1" applyBorder="1" applyAlignment="1">
      <alignment/>
    </xf>
    <xf numFmtId="0" fontId="0" fillId="0" borderId="0" xfId="0" applyAlignment="1">
      <alignment/>
    </xf>
    <xf numFmtId="178" fontId="6" fillId="34" borderId="44" xfId="0" applyNumberFormat="1" applyFont="1" applyFill="1" applyBorder="1" applyAlignment="1">
      <alignment/>
    </xf>
    <xf numFmtId="178" fontId="6" fillId="34" borderId="28" xfId="0" applyNumberFormat="1" applyFont="1" applyFill="1" applyBorder="1" applyAlignment="1">
      <alignment/>
    </xf>
    <xf numFmtId="16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/>
    </xf>
    <xf numFmtId="174" fontId="0" fillId="0" borderId="32" xfId="0" applyNumberFormat="1" applyBorder="1" applyAlignment="1">
      <alignment/>
    </xf>
    <xf numFmtId="0" fontId="0" fillId="34" borderId="11" xfId="0" applyFill="1" applyBorder="1" applyAlignment="1">
      <alignment horizontal="center"/>
    </xf>
    <xf numFmtId="173" fontId="0" fillId="33" borderId="15" xfId="0" applyNumberFormat="1" applyFill="1" applyBorder="1" applyAlignment="1">
      <alignment/>
    </xf>
    <xf numFmtId="0" fontId="0" fillId="33" borderId="37" xfId="0" applyFill="1" applyBorder="1" applyAlignment="1">
      <alignment/>
    </xf>
    <xf numFmtId="173" fontId="0" fillId="33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34" borderId="43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4" xfId="0" applyFont="1" applyBorder="1" applyAlignment="1">
      <alignment/>
    </xf>
    <xf numFmtId="166" fontId="19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51" xfId="0" applyBorder="1" applyAlignment="1">
      <alignment/>
    </xf>
    <xf numFmtId="0" fontId="0" fillId="33" borderId="52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51" xfId="0" applyFill="1" applyBorder="1" applyAlignment="1">
      <alignment/>
    </xf>
    <xf numFmtId="0" fontId="9" fillId="0" borderId="5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52" xfId="0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35" borderId="0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4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74" xfId="0" applyFont="1" applyBorder="1" applyAlignment="1">
      <alignment horizontal="center" vertical="top"/>
    </xf>
    <xf numFmtId="0" fontId="6" fillId="0" borderId="73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0" fillId="0" borderId="49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0" fontId="0" fillId="0" borderId="24" xfId="0" applyNumberFormat="1" applyBorder="1" applyAlignment="1">
      <alignment horizontal="center"/>
    </xf>
    <xf numFmtId="0" fontId="12" fillId="35" borderId="75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6"/>
  <sheetViews>
    <sheetView zoomScalePageLayoutView="0" workbookViewId="0" topLeftCell="A25">
      <selection activeCell="I32" sqref="I32:M36"/>
    </sheetView>
  </sheetViews>
  <sheetFormatPr defaultColWidth="11.421875" defaultRowHeight="12.75"/>
  <cols>
    <col min="1" max="1" width="2.57421875" style="0" customWidth="1"/>
    <col min="2" max="2" width="15.28125" style="0" customWidth="1"/>
    <col min="3" max="3" width="16.00390625" style="0" customWidth="1"/>
    <col min="4" max="4" width="13.7109375" style="0" customWidth="1"/>
    <col min="5" max="5" width="16.7109375" style="0" customWidth="1"/>
    <col min="6" max="6" width="12.57421875" style="0" customWidth="1"/>
    <col min="7" max="7" width="9.421875" style="0" customWidth="1"/>
    <col min="9" max="9" width="8.140625" style="0" customWidth="1"/>
    <col min="10" max="10" width="16.421875" style="0" customWidth="1"/>
    <col min="11" max="11" width="17.7109375" style="0" customWidth="1"/>
    <col min="12" max="12" width="15.8515625" style="0" customWidth="1"/>
  </cols>
  <sheetData>
    <row r="1" ht="12.75" thickBot="1"/>
    <row r="2" spans="2:11" ht="15" thickBot="1">
      <c r="B2" s="158" t="s">
        <v>80</v>
      </c>
      <c r="C2" s="159"/>
      <c r="D2" s="159"/>
      <c r="E2" s="159"/>
      <c r="F2" s="159"/>
      <c r="G2" s="160"/>
      <c r="J2" s="156" t="s">
        <v>79</v>
      </c>
      <c r="K2" s="157"/>
    </row>
    <row r="3" spans="2:11" ht="16.5" thickBot="1" thickTop="1">
      <c r="B3" s="161" t="str">
        <f>CONCATENATE("Ausgewähltes Ellipsoid:   ",K7)</f>
        <v>Ausgewähltes Ellipsoid:   Bessel 1841</v>
      </c>
      <c r="C3" s="162"/>
      <c r="D3" s="162"/>
      <c r="E3" s="162"/>
      <c r="F3" s="162"/>
      <c r="G3" s="163"/>
      <c r="J3" s="138"/>
      <c r="K3" s="140"/>
    </row>
    <row r="4" spans="2:11" ht="12.75">
      <c r="B4" s="29"/>
      <c r="C4" s="29"/>
      <c r="D4" s="29"/>
      <c r="E4" s="29"/>
      <c r="F4" s="29"/>
      <c r="H4" s="114"/>
      <c r="J4" s="138"/>
      <c r="K4" s="137"/>
    </row>
    <row r="5" spans="2:11" ht="12.75" customHeight="1">
      <c r="B5" s="164" t="s">
        <v>69</v>
      </c>
      <c r="C5" s="164"/>
      <c r="D5" s="164"/>
      <c r="E5" s="164"/>
      <c r="F5" s="164"/>
      <c r="G5" s="164"/>
      <c r="H5" s="143">
        <f>180/PI()</f>
        <v>57.29577951308232</v>
      </c>
      <c r="J5" s="138"/>
      <c r="K5" s="141">
        <v>1</v>
      </c>
    </row>
    <row r="6" spans="2:11" ht="12.75" customHeight="1">
      <c r="B6" s="164"/>
      <c r="C6" s="164"/>
      <c r="D6" s="164"/>
      <c r="E6" s="164"/>
      <c r="F6" s="164"/>
      <c r="G6" s="164"/>
      <c r="H6" s="114"/>
      <c r="J6" s="138"/>
      <c r="K6" s="141"/>
    </row>
    <row r="7" spans="2:11" ht="12.75" customHeight="1" thickBot="1">
      <c r="B7" s="164"/>
      <c r="C7" s="164"/>
      <c r="D7" s="164"/>
      <c r="E7" s="164"/>
      <c r="F7" s="164"/>
      <c r="G7" s="164"/>
      <c r="H7" s="114"/>
      <c r="J7" s="139"/>
      <c r="K7" s="142" t="str">
        <f>IF(K5=1,"Bessel 1841",IF(K5=2,"GRS 80",IF(K5=4,"Krassowski",IF(K5=3,"Hayford"))))</f>
        <v>Bessel 1841</v>
      </c>
    </row>
    <row r="9" ht="12.75" thickBot="1"/>
    <row r="10" spans="2:7" ht="13.5" thickBot="1">
      <c r="B10" s="156" t="s">
        <v>40</v>
      </c>
      <c r="C10" s="165"/>
      <c r="D10" s="165"/>
      <c r="E10" s="165"/>
      <c r="F10" s="165"/>
      <c r="G10" s="157"/>
    </row>
    <row r="11" spans="2:12" ht="13.5" customHeight="1" thickBot="1" thickTop="1">
      <c r="B11" s="186" t="s">
        <v>16</v>
      </c>
      <c r="C11" s="99">
        <v>48</v>
      </c>
      <c r="D11" s="103" t="s">
        <v>12</v>
      </c>
      <c r="E11" s="189" t="s">
        <v>17</v>
      </c>
      <c r="F11" s="99">
        <v>10</v>
      </c>
      <c r="G11" s="100" t="s">
        <v>12</v>
      </c>
      <c r="I11" s="173" t="s">
        <v>36</v>
      </c>
      <c r="J11" s="174"/>
      <c r="K11" s="174"/>
      <c r="L11" s="175"/>
    </row>
    <row r="12" spans="2:12" ht="12.75" customHeight="1" thickTop="1">
      <c r="B12" s="187"/>
      <c r="C12" s="101">
        <v>26</v>
      </c>
      <c r="D12" s="104" t="s">
        <v>13</v>
      </c>
      <c r="E12" s="190"/>
      <c r="F12" s="101">
        <v>42</v>
      </c>
      <c r="G12" s="102" t="s">
        <v>15</v>
      </c>
      <c r="I12" s="25" t="s">
        <v>37</v>
      </c>
      <c r="J12" s="125">
        <f>D17</f>
        <v>33</v>
      </c>
      <c r="K12" s="74"/>
      <c r="L12" s="75"/>
    </row>
    <row r="13" spans="2:12" ht="13.5" customHeight="1" thickBot="1">
      <c r="B13" s="188"/>
      <c r="C13" s="106">
        <v>48.39317</v>
      </c>
      <c r="D13" s="107" t="s">
        <v>14</v>
      </c>
      <c r="E13" s="191"/>
      <c r="F13" s="106">
        <v>58.990394</v>
      </c>
      <c r="G13" s="108" t="s">
        <v>14</v>
      </c>
      <c r="I13" s="123" t="s">
        <v>67</v>
      </c>
      <c r="J13" s="111">
        <f>E29+500000</f>
        <v>183304.2104700993</v>
      </c>
      <c r="K13" s="124" t="s">
        <v>68</v>
      </c>
      <c r="L13" s="112">
        <f>E36</f>
        <v>5374278.799979007</v>
      </c>
    </row>
    <row r="14" spans="2:7" ht="14.25" customHeight="1">
      <c r="B14" s="105"/>
      <c r="C14" s="113">
        <f>C11+C12/60+C13/(60*60)</f>
        <v>48.44677588055555</v>
      </c>
      <c r="D14" s="114"/>
      <c r="E14" s="115"/>
      <c r="F14" s="116">
        <f>F11+F12/60+F13/(60*60)</f>
        <v>10.716386220555554</v>
      </c>
      <c r="G14" s="5"/>
    </row>
    <row r="15" ht="12.75" thickBot="1"/>
    <row r="16" spans="2:12" ht="13.5" thickBot="1">
      <c r="B16" s="68" t="s">
        <v>3</v>
      </c>
      <c r="C16" s="109">
        <v>15</v>
      </c>
      <c r="D16" s="69" t="s">
        <v>12</v>
      </c>
      <c r="E16" s="27" t="s">
        <v>4</v>
      </c>
      <c r="F16" s="117">
        <f>F14-C16</f>
        <v>-4.283613779444446</v>
      </c>
      <c r="G16" s="11" t="s">
        <v>12</v>
      </c>
      <c r="I16" s="197" t="str">
        <f>CONCATENATE("Ellipsoidparameter (",K7,")")</f>
        <v>Ellipsoidparameter (Bessel 1841)</v>
      </c>
      <c r="J16" s="198"/>
      <c r="K16" s="198"/>
      <c r="L16" s="199"/>
    </row>
    <row r="17" spans="2:12" ht="13.5" thickBot="1" thickTop="1">
      <c r="B17" s="28" t="s">
        <v>20</v>
      </c>
      <c r="C17" s="7"/>
      <c r="D17" s="118">
        <f>(C16+3)/6+30</f>
        <v>33</v>
      </c>
      <c r="E17" s="26"/>
      <c r="F17" s="7"/>
      <c r="G17" s="1"/>
      <c r="I17" s="196" t="s">
        <v>0</v>
      </c>
      <c r="J17" s="193"/>
      <c r="K17" s="119">
        <f>IF(K5=1,Ellipsoidparameter!C6,IF(K5=2,Ellipsoidparameter!C8,IF(K5=3,Ellipsoidparameter!C9,IF(K5=4,Ellipsoidparameter!C7))))</f>
        <v>6377397.155</v>
      </c>
      <c r="L17" s="120" t="s">
        <v>1</v>
      </c>
    </row>
    <row r="18" spans="9:12" ht="12.75" thickBot="1">
      <c r="I18" s="200" t="s">
        <v>2</v>
      </c>
      <c r="J18" s="201"/>
      <c r="K18" s="121">
        <f>IF(K5=1,Ellipsoidparameter!D6,IF(K5=2,Ellipsoidparameter!D8,IF(K5=3,Ellipsoidparameter!D9,IF(K5=4,Ellipsoidparameter!D7))))</f>
        <v>6356078.962821752</v>
      </c>
      <c r="L18" s="122" t="s">
        <v>1</v>
      </c>
    </row>
    <row r="19" spans="9:12" ht="12.75">
      <c r="I19" s="3"/>
      <c r="J19" s="3"/>
      <c r="K19" s="4"/>
      <c r="L19" s="5"/>
    </row>
    <row r="20" spans="2:12" ht="15.75" customHeight="1" thickBot="1">
      <c r="B20" s="183" t="s">
        <v>18</v>
      </c>
      <c r="C20" s="184"/>
      <c r="D20" s="184"/>
      <c r="E20" s="185"/>
      <c r="I20" s="168" t="s">
        <v>28</v>
      </c>
      <c r="J20" s="169"/>
      <c r="K20" s="169"/>
      <c r="L20" s="60">
        <v>0.9996</v>
      </c>
    </row>
    <row r="21" spans="2:7" ht="12.75" thickTop="1">
      <c r="B21" s="166" t="s">
        <v>30</v>
      </c>
      <c r="C21" s="167"/>
      <c r="D21" s="12"/>
      <c r="E21" s="58">
        <f>L26/SQRT(1+E23)</f>
        <v>6389349.172032877</v>
      </c>
      <c r="F21" s="110"/>
      <c r="G21" s="110"/>
    </row>
    <row r="22" spans="2:5" ht="12.75">
      <c r="B22" s="168" t="s">
        <v>31</v>
      </c>
      <c r="C22" s="169"/>
      <c r="D22" s="10"/>
      <c r="E22" s="60">
        <f>L27*C14+L28*SIN((2*C14)/rho)+L29*SIN((4*C14)/rho)+L30*SIN((6*C14)/rho)</f>
        <v>5367558.732814088</v>
      </c>
    </row>
    <row r="23" spans="2:12" ht="15.75" thickBot="1">
      <c r="B23" s="170" t="s">
        <v>41</v>
      </c>
      <c r="C23" s="171"/>
      <c r="D23" s="9"/>
      <c r="E23" s="59">
        <f>(L25*COS(C14/rho)^2)</f>
        <v>0.002956371910726803</v>
      </c>
      <c r="I23" s="183" t="s">
        <v>5</v>
      </c>
      <c r="J23" s="184"/>
      <c r="K23" s="184"/>
      <c r="L23" s="185"/>
    </row>
    <row r="24" spans="9:12" ht="15" thickTop="1">
      <c r="I24" s="192" t="s">
        <v>25</v>
      </c>
      <c r="J24" s="193"/>
      <c r="K24" s="193"/>
      <c r="L24" s="61">
        <f>((K17^2-K18^2)/K17^2)</f>
        <v>0.006674372230688312</v>
      </c>
    </row>
    <row r="25" spans="2:12" ht="24.75" customHeight="1">
      <c r="B25" s="172" t="s">
        <v>32</v>
      </c>
      <c r="C25" s="172"/>
      <c r="D25" s="172"/>
      <c r="E25" s="15" t="s">
        <v>38</v>
      </c>
      <c r="I25" s="194" t="s">
        <v>26</v>
      </c>
      <c r="J25" s="195"/>
      <c r="K25" s="195"/>
      <c r="L25" s="62">
        <f>(K17^2-K18^2)/K18^2</f>
        <v>0.006719218798045909</v>
      </c>
    </row>
    <row r="26" spans="2:12" ht="16.5">
      <c r="B26" s="16" t="s">
        <v>19</v>
      </c>
      <c r="C26" s="155">
        <f>L20/rho*E21*COS(C14/rho)</f>
        <v>73940.15891295734</v>
      </c>
      <c r="D26" s="155"/>
      <c r="E26" s="17">
        <f>C26*F16</f>
        <v>-316731.0835738561</v>
      </c>
      <c r="I26" s="70" t="s">
        <v>27</v>
      </c>
      <c r="J26" s="71"/>
      <c r="K26" s="71"/>
      <c r="L26" s="63">
        <f>K17^2/K18</f>
        <v>6398786.8480706075</v>
      </c>
    </row>
    <row r="27" spans="2:12" ht="16.5">
      <c r="B27" s="16" t="s">
        <v>6</v>
      </c>
      <c r="C27" s="155">
        <f>L20/(6*rho^3)*E21*COS(C14/rho)^3*(1-TAN(C14/rho)^2+E23)</f>
        <v>-0.4456805093582908</v>
      </c>
      <c r="D27" s="155"/>
      <c r="E27" s="18">
        <f>C27*F16^3</f>
        <v>35.03116355441855</v>
      </c>
      <c r="I27" s="177" t="s">
        <v>29</v>
      </c>
      <c r="J27" s="178"/>
      <c r="K27" s="13" t="s">
        <v>8</v>
      </c>
      <c r="L27" s="66">
        <f>L26/rho*(1-3/4*L25+45/64*L25^2-175/256*L25^3+11025/16384*L25^4)</f>
        <v>111120.61960584903</v>
      </c>
    </row>
    <row r="28" spans="2:12" ht="17.25" thickBot="1">
      <c r="B28" s="16" t="s">
        <v>7</v>
      </c>
      <c r="C28" s="155">
        <f>L20/(120*rho^5)*E21*COS(C14/rho)^5*(5-18*TAN(C14/rho)^2+TAN(C14/rho)^4+E23*(14-58*TAN(C14/rho)^2))</f>
        <v>-0.00018226642439849025</v>
      </c>
      <c r="D28" s="155"/>
      <c r="E28" s="19">
        <f>C28*F16^5</f>
        <v>0.26288040098792476</v>
      </c>
      <c r="I28" s="179"/>
      <c r="J28" s="180"/>
      <c r="K28" s="14" t="s">
        <v>9</v>
      </c>
      <c r="L28" s="66">
        <f>L26*(-3/8*L25+15/32*L25^2-525/1024*L25^3+2205/4096*L25^4)</f>
        <v>-15988.6384835527</v>
      </c>
    </row>
    <row r="29" spans="2:12" ht="17.25" thickTop="1">
      <c r="B29" s="155" t="s">
        <v>34</v>
      </c>
      <c r="C29" s="155"/>
      <c r="D29" s="155"/>
      <c r="E29" s="23">
        <f>SUM(E26:E28)</f>
        <v>-316695.7895299007</v>
      </c>
      <c r="I29" s="179"/>
      <c r="J29" s="180"/>
      <c r="K29" s="14" t="s">
        <v>10</v>
      </c>
      <c r="L29" s="66">
        <f>L26*(15/256*L25^2-105/1024*L25^3+2205/16384*L25^4)</f>
        <v>16.729967695608416</v>
      </c>
    </row>
    <row r="30" spans="5:12" ht="16.5">
      <c r="E30" s="2"/>
      <c r="I30" s="181"/>
      <c r="J30" s="182"/>
      <c r="K30" s="67" t="s">
        <v>11</v>
      </c>
      <c r="L30" s="63">
        <f>L26*(-35/3072*L25^3+315/12288*L25^4)</f>
        <v>-0.021781356318340755</v>
      </c>
    </row>
    <row r="31" spans="2:5" ht="24.75">
      <c r="B31" s="172" t="s">
        <v>33</v>
      </c>
      <c r="C31" s="172"/>
      <c r="D31" s="172"/>
      <c r="E31" s="15" t="s">
        <v>39</v>
      </c>
    </row>
    <row r="32" spans="2:13" ht="16.5">
      <c r="B32" s="16" t="s">
        <v>21</v>
      </c>
      <c r="C32" s="176">
        <f>E22*L20</f>
        <v>5365411.709320963</v>
      </c>
      <c r="D32" s="176"/>
      <c r="E32" s="20">
        <f>C32</f>
        <v>5365411.709320963</v>
      </c>
      <c r="F32" s="22"/>
      <c r="G32" s="5"/>
      <c r="I32" s="155" t="s">
        <v>81</v>
      </c>
      <c r="J32" s="155"/>
      <c r="K32" s="155"/>
      <c r="L32" s="155"/>
      <c r="M32" s="155"/>
    </row>
    <row r="33" spans="2:13" ht="16.5">
      <c r="B33" s="16" t="s">
        <v>22</v>
      </c>
      <c r="C33" s="155">
        <f>L20/(2*rho^2)*E21*COS(C14/rho)^2*TAN(C14/rho)</f>
        <v>482.8660076320093</v>
      </c>
      <c r="D33" s="155"/>
      <c r="E33" s="20">
        <f>C33*F16^2</f>
        <v>8860.275934071431</v>
      </c>
      <c r="I33" s="154" t="s">
        <v>82</v>
      </c>
      <c r="J33" s="154"/>
      <c r="K33" s="154"/>
      <c r="L33" s="154"/>
      <c r="M33" s="154"/>
    </row>
    <row r="34" spans="2:13" ht="16.5">
      <c r="B34" s="16" t="s">
        <v>23</v>
      </c>
      <c r="C34" s="155">
        <f>L20/(24*rho^4)*E21*COS(C14/rho)^4*TAN(C14/rho)*(5-TAN(C14/rho)^2+9*E23)</f>
        <v>0.020244790999998492</v>
      </c>
      <c r="D34" s="155"/>
      <c r="E34" s="20">
        <f>C34*F16^4</f>
        <v>6.816391486192895</v>
      </c>
      <c r="I34" s="154"/>
      <c r="J34" s="154"/>
      <c r="K34" s="154"/>
      <c r="L34" s="154"/>
      <c r="M34" s="154"/>
    </row>
    <row r="35" spans="2:13" ht="17.25" thickBot="1">
      <c r="B35" s="16" t="s">
        <v>24</v>
      </c>
      <c r="C35" s="155">
        <f>L20/(720*rho^6)*E21*COS(C14/rho)^6*TAN(C14/rho)*(61-58*TAN(C14/rho)^2+TAN(C14/rho)^4)</f>
        <v>-2.699028980554026E-07</v>
      </c>
      <c r="D35" s="155"/>
      <c r="E35" s="21">
        <f>C35*F16^6</f>
        <v>-0.0016675136180114504</v>
      </c>
      <c r="I35" s="154"/>
      <c r="J35" s="154"/>
      <c r="K35" s="154"/>
      <c r="L35" s="154"/>
      <c r="M35" s="154"/>
    </row>
    <row r="36" spans="2:13" ht="12.75" thickTop="1">
      <c r="B36" s="155" t="s">
        <v>35</v>
      </c>
      <c r="C36" s="155"/>
      <c r="D36" s="155"/>
      <c r="E36" s="24">
        <f>SUM(E32:E35)</f>
        <v>5374278.799979007</v>
      </c>
      <c r="I36" s="154"/>
      <c r="J36" s="154"/>
      <c r="K36" s="154"/>
      <c r="L36" s="154"/>
      <c r="M36" s="154"/>
    </row>
  </sheetData>
  <sheetProtection/>
  <mergeCells count="33">
    <mergeCell ref="I24:K24"/>
    <mergeCell ref="I25:K25"/>
    <mergeCell ref="I17:J17"/>
    <mergeCell ref="I16:L16"/>
    <mergeCell ref="I23:L23"/>
    <mergeCell ref="I18:J18"/>
    <mergeCell ref="I20:K20"/>
    <mergeCell ref="B36:D36"/>
    <mergeCell ref="I11:L11"/>
    <mergeCell ref="C32:D32"/>
    <mergeCell ref="C33:D33"/>
    <mergeCell ref="C34:D34"/>
    <mergeCell ref="C35:D35"/>
    <mergeCell ref="I27:J30"/>
    <mergeCell ref="B20:E20"/>
    <mergeCell ref="B11:B13"/>
    <mergeCell ref="E11:E13"/>
    <mergeCell ref="B25:D25"/>
    <mergeCell ref="B31:D31"/>
    <mergeCell ref="C26:D26"/>
    <mergeCell ref="C27:D27"/>
    <mergeCell ref="C28:D28"/>
    <mergeCell ref="B29:D29"/>
    <mergeCell ref="I33:M36"/>
    <mergeCell ref="I32:M32"/>
    <mergeCell ref="J2:K2"/>
    <mergeCell ref="B2:G2"/>
    <mergeCell ref="B3:G3"/>
    <mergeCell ref="B5:G7"/>
    <mergeCell ref="B10:G10"/>
    <mergeCell ref="B21:C21"/>
    <mergeCell ref="B22:C22"/>
    <mergeCell ref="B23:C23"/>
  </mergeCells>
  <printOptions/>
  <pageMargins left="0.787401575" right="0.787401575" top="0.984251969" bottom="0.984251969" header="0.4921259845" footer="0.4921259845"/>
  <pageSetup orientation="portrait" paperSize="9" r:id="rId2"/>
  <headerFooter alignWithMargins="0">
    <oddHeader xml:space="preserve">&amp;CUTM-Koordinaten aus ellipsoidischen Koordinaten 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4"/>
  <sheetViews>
    <sheetView showGridLines="0" tabSelected="1" zoomScalePageLayoutView="0" workbookViewId="0" topLeftCell="A1">
      <selection activeCell="I43" sqref="I43"/>
    </sheetView>
  </sheetViews>
  <sheetFormatPr defaultColWidth="11.421875" defaultRowHeight="12.75"/>
  <cols>
    <col min="1" max="1" width="4.8515625" style="0" customWidth="1"/>
    <col min="2" max="2" width="14.140625" style="0" bestFit="1" customWidth="1"/>
    <col min="3" max="3" width="21.7109375" style="0" customWidth="1"/>
    <col min="4" max="4" width="15.28125" style="0" customWidth="1"/>
    <col min="5" max="5" width="15.8515625" style="0" customWidth="1"/>
    <col min="6" max="6" width="14.421875" style="0" bestFit="1" customWidth="1"/>
    <col min="7" max="7" width="8.28125" style="0" customWidth="1"/>
    <col min="8" max="8" width="13.28125" style="0" customWidth="1"/>
    <col min="10" max="10" width="13.421875" style="0" customWidth="1"/>
    <col min="11" max="11" width="17.00390625" style="0" customWidth="1"/>
  </cols>
  <sheetData>
    <row r="1" spans="8:14" ht="12.75" thickBot="1">
      <c r="H1" s="126"/>
      <c r="I1" s="126"/>
      <c r="J1" s="126"/>
      <c r="K1" s="126"/>
      <c r="L1" s="126"/>
      <c r="M1" s="126"/>
      <c r="N1" s="126"/>
    </row>
    <row r="2" spans="2:14" ht="15" customHeight="1" thickBot="1">
      <c r="B2" s="158" t="s">
        <v>70</v>
      </c>
      <c r="C2" s="159"/>
      <c r="D2" s="159"/>
      <c r="E2" s="159"/>
      <c r="F2" s="160"/>
      <c r="G2" s="76"/>
      <c r="H2" s="156" t="s">
        <v>79</v>
      </c>
      <c r="I2" s="165"/>
      <c r="J2" s="157"/>
      <c r="K2" s="127"/>
      <c r="L2" s="127"/>
      <c r="M2" s="127"/>
      <c r="N2" s="127"/>
    </row>
    <row r="3" spans="2:14" ht="12.75" customHeight="1" thickBot="1" thickTop="1">
      <c r="B3" s="161" t="str">
        <f>CONCATENATE("Ausgewähltes Ellipsoid:   ",I7)</f>
        <v>Ausgewähltes Ellipsoid:   Hayford</v>
      </c>
      <c r="C3" s="162"/>
      <c r="D3" s="162"/>
      <c r="E3" s="162"/>
      <c r="F3" s="163"/>
      <c r="G3" s="76"/>
      <c r="H3" s="146"/>
      <c r="I3" s="144"/>
      <c r="J3" s="147"/>
      <c r="K3" s="127"/>
      <c r="L3" s="127"/>
      <c r="M3" s="127"/>
      <c r="N3" s="127"/>
    </row>
    <row r="4" spans="2:14" ht="12.75" customHeight="1">
      <c r="B4" s="29"/>
      <c r="C4" s="29"/>
      <c r="D4" s="29"/>
      <c r="E4" s="29"/>
      <c r="F4" s="29"/>
      <c r="G4" s="76"/>
      <c r="H4" s="148"/>
      <c r="I4" s="145"/>
      <c r="J4" s="149"/>
      <c r="K4" s="127"/>
      <c r="M4" s="127"/>
      <c r="N4" s="127"/>
    </row>
    <row r="5" spans="2:14" ht="12.75" customHeight="1">
      <c r="B5" s="221" t="s">
        <v>69</v>
      </c>
      <c r="C5" s="221"/>
      <c r="D5" s="221"/>
      <c r="E5" s="221"/>
      <c r="F5" s="221"/>
      <c r="G5" s="76"/>
      <c r="H5" s="148"/>
      <c r="I5" s="128"/>
      <c r="J5" s="150"/>
      <c r="K5" s="127"/>
      <c r="L5" s="127"/>
      <c r="M5" s="127"/>
      <c r="N5" s="127"/>
    </row>
    <row r="6" spans="2:14" ht="12.75" customHeight="1">
      <c r="B6" s="164"/>
      <c r="C6" s="164"/>
      <c r="D6" s="164"/>
      <c r="E6" s="164"/>
      <c r="F6" s="164"/>
      <c r="G6" s="76"/>
      <c r="H6" s="148"/>
      <c r="I6" s="114">
        <v>3</v>
      </c>
      <c r="J6" s="150"/>
      <c r="K6" s="127"/>
      <c r="L6" s="127"/>
      <c r="M6" s="127"/>
      <c r="N6" s="127"/>
    </row>
    <row r="7" spans="2:14" ht="12.75" customHeight="1" thickBot="1">
      <c r="B7" s="164"/>
      <c r="C7" s="164"/>
      <c r="D7" s="164"/>
      <c r="E7" s="164"/>
      <c r="F7" s="164"/>
      <c r="G7" s="76"/>
      <c r="H7" s="151"/>
      <c r="I7" s="153" t="str">
        <f>IF(I6=1,"Bessel 1841",IF(I6=2,"GRS 80",IF(I6=3,"Hayford",IF(I6=4,"Krassowski"))))</f>
        <v>Hayford</v>
      </c>
      <c r="J7" s="152"/>
      <c r="K7" s="127"/>
      <c r="L7" s="127"/>
      <c r="M7" s="127"/>
      <c r="N7" s="127"/>
    </row>
    <row r="8" spans="2:14" ht="12.75">
      <c r="B8" s="5"/>
      <c r="C8" s="5"/>
      <c r="D8" s="5"/>
      <c r="E8" s="5"/>
      <c r="F8" s="5"/>
      <c r="G8" s="5"/>
      <c r="H8" s="128"/>
      <c r="I8" s="128"/>
      <c r="J8" s="128"/>
      <c r="K8" s="127"/>
      <c r="L8" s="127"/>
      <c r="M8" s="127"/>
      <c r="N8" s="127"/>
    </row>
    <row r="9" spans="8:14" ht="12.75" thickBot="1">
      <c r="H9" s="127"/>
      <c r="I9" s="127"/>
      <c r="J9" s="127"/>
      <c r="K9" s="127"/>
      <c r="L9" s="127"/>
      <c r="M9" s="127"/>
      <c r="N9" s="127"/>
    </row>
    <row r="10" spans="2:14" ht="15" thickBot="1">
      <c r="B10" s="210" t="s">
        <v>46</v>
      </c>
      <c r="C10" s="211"/>
      <c r="D10" s="211"/>
      <c r="E10" s="212"/>
      <c r="H10" s="222" t="s">
        <v>40</v>
      </c>
      <c r="I10" s="223"/>
      <c r="J10" s="223"/>
      <c r="K10" s="224"/>
      <c r="L10" s="127"/>
      <c r="M10" s="127"/>
      <c r="N10" s="127"/>
    </row>
    <row r="11" spans="2:14" ht="15" thickTop="1">
      <c r="B11" s="48" t="s">
        <v>67</v>
      </c>
      <c r="C11" s="78">
        <v>626840.973</v>
      </c>
      <c r="D11" s="213" t="s">
        <v>68</v>
      </c>
      <c r="E11" s="77">
        <v>5367182.555</v>
      </c>
      <c r="G11" s="30"/>
      <c r="H11" s="88"/>
      <c r="I11" s="89" t="s">
        <v>63</v>
      </c>
      <c r="J11" s="89" t="s">
        <v>64</v>
      </c>
      <c r="K11" s="90" t="s">
        <v>65</v>
      </c>
      <c r="L11" s="127"/>
      <c r="M11" s="127"/>
      <c r="N11" s="127"/>
    </row>
    <row r="12" spans="2:14" ht="14.25">
      <c r="B12" s="51" t="s">
        <v>47</v>
      </c>
      <c r="C12" s="52">
        <f>C11-500000</f>
        <v>126840.973</v>
      </c>
      <c r="D12" s="214"/>
      <c r="E12" s="49"/>
      <c r="H12" s="91" t="s">
        <v>17</v>
      </c>
      <c r="I12" s="92">
        <f>E38-MOD(E38,1)</f>
        <v>13</v>
      </c>
      <c r="J12" s="93">
        <f>(E38-I12)*60-MOD((E38-I12)*60,1)</f>
        <v>42</v>
      </c>
      <c r="K12" s="94">
        <f>(E38-I12-J12/60)*3600</f>
        <v>54.37161779386814</v>
      </c>
      <c r="L12" s="127"/>
      <c r="M12" s="127"/>
      <c r="N12" s="127"/>
    </row>
    <row r="13" spans="2:14" ht="15" thickBot="1">
      <c r="B13" s="53" t="s">
        <v>56</v>
      </c>
      <c r="C13" s="54">
        <f>C12/100000</f>
        <v>1.26840973</v>
      </c>
      <c r="D13" s="215"/>
      <c r="E13" s="50"/>
      <c r="H13" s="95" t="s">
        <v>16</v>
      </c>
      <c r="I13" s="96">
        <f>E31-MOD(E31,1)</f>
        <v>48</v>
      </c>
      <c r="J13" s="97">
        <f>(E31-I13)*60-MOD((E31-I13)*60,1)</f>
        <v>26</v>
      </c>
      <c r="K13" s="98">
        <f>(E31-I13-J13/60)*3600</f>
        <v>38.5722553525448</v>
      </c>
      <c r="L13" s="127"/>
      <c r="M13" s="127"/>
      <c r="N13" s="127"/>
    </row>
    <row r="14" spans="8:14" ht="12.75" thickBot="1">
      <c r="H14" s="127"/>
      <c r="I14" s="127"/>
      <c r="J14" s="127"/>
      <c r="K14" s="127"/>
      <c r="L14" s="127"/>
      <c r="M14" s="127"/>
      <c r="N14" s="127"/>
    </row>
    <row r="15" spans="2:14" ht="14.25">
      <c r="B15" s="55" t="s">
        <v>3</v>
      </c>
      <c r="C15" s="56"/>
      <c r="D15" s="87">
        <v>12</v>
      </c>
      <c r="E15" s="57" t="s">
        <v>12</v>
      </c>
      <c r="H15" s="127"/>
      <c r="I15" s="127"/>
      <c r="J15" s="127"/>
      <c r="K15" s="127"/>
      <c r="L15" s="127"/>
      <c r="M15" s="127"/>
      <c r="N15" s="127"/>
    </row>
    <row r="16" spans="2:14" ht="12.75" thickBot="1">
      <c r="B16" s="46" t="s">
        <v>20</v>
      </c>
      <c r="C16" s="7"/>
      <c r="D16" s="201">
        <f>(D15+3)/6+30</f>
        <v>32.5</v>
      </c>
      <c r="E16" s="216"/>
      <c r="H16" s="127"/>
      <c r="I16" s="127"/>
      <c r="J16" s="127"/>
      <c r="K16" s="127"/>
      <c r="L16" s="127"/>
      <c r="M16" s="127"/>
      <c r="N16" s="127"/>
    </row>
    <row r="17" spans="8:14" ht="13.5" thickBot="1">
      <c r="H17" s="156" t="s">
        <v>66</v>
      </c>
      <c r="I17" s="165"/>
      <c r="J17" s="165"/>
      <c r="K17" s="157"/>
      <c r="L17" s="127"/>
      <c r="M17" s="127"/>
      <c r="N17" s="127"/>
    </row>
    <row r="18" spans="8:14" ht="13.5" thickTop="1">
      <c r="H18" s="79" t="s">
        <v>0</v>
      </c>
      <c r="I18" s="80"/>
      <c r="J18" s="83">
        <f>IF(I6=1,Ellipsoidparameter!C6,IF(I6=2,Ellipsoidparameter!C8,IF(I6=3,Ellipsoidparameter!C9,IF(I6=4,Ellipsoidparameter!C7))))</f>
        <v>6378388</v>
      </c>
      <c r="K18" s="84" t="s">
        <v>1</v>
      </c>
      <c r="L18" s="127"/>
      <c r="M18" s="127"/>
      <c r="N18" s="127"/>
    </row>
    <row r="19" spans="2:14" ht="13.5" thickBot="1">
      <c r="B19" s="70" t="s">
        <v>57</v>
      </c>
      <c r="C19" s="71"/>
      <c r="D19" s="72"/>
      <c r="E19" s="16">
        <f>(E11/K21)/K27</f>
        <v>48.312917143629456</v>
      </c>
      <c r="H19" s="81" t="s">
        <v>2</v>
      </c>
      <c r="I19" s="82"/>
      <c r="J19" s="85">
        <f>IF(I6=1,Ellipsoidparameter!D6,IF(I6=2,Ellipsoidparameter!D8,IF(I6=3,Ellipsoidparameter!D9,IF(I6=4,Ellipsoidparameter!D7))))</f>
        <v>6356911.9461279465</v>
      </c>
      <c r="K19" s="86" t="s">
        <v>1</v>
      </c>
      <c r="L19" s="127"/>
      <c r="M19" s="127"/>
      <c r="N19" s="127"/>
    </row>
    <row r="20" spans="2:14" ht="12.75">
      <c r="B20" s="73" t="s">
        <v>58</v>
      </c>
      <c r="C20" s="73"/>
      <c r="D20" s="73"/>
      <c r="E20" s="16">
        <f>E19+K28*SIN((2*E19)/rho)+K29*SIN((4*E19)/rho)+K30*SIN((6*E19)/rho)</f>
        <v>48.456829780874536</v>
      </c>
      <c r="H20" s="129"/>
      <c r="I20" s="129"/>
      <c r="J20" s="130"/>
      <c r="K20" s="128"/>
      <c r="L20" s="127"/>
      <c r="M20" s="127"/>
      <c r="N20" s="127"/>
    </row>
    <row r="21" spans="2:14" ht="12.75">
      <c r="B21" s="37"/>
      <c r="C21" s="5"/>
      <c r="H21" s="131" t="s">
        <v>28</v>
      </c>
      <c r="I21" s="132"/>
      <c r="J21" s="132"/>
      <c r="K21" s="133">
        <v>0.9996</v>
      </c>
      <c r="L21" s="127"/>
      <c r="M21" s="127"/>
      <c r="N21" s="127"/>
    </row>
    <row r="22" spans="2:14" ht="12.75" thickBot="1">
      <c r="B22" s="183" t="s">
        <v>18</v>
      </c>
      <c r="C22" s="184"/>
      <c r="D22" s="184"/>
      <c r="E22" s="185"/>
      <c r="H22" s="129"/>
      <c r="I22" s="129"/>
      <c r="J22" s="130"/>
      <c r="K22" s="128"/>
      <c r="L22" s="127"/>
      <c r="M22" s="127"/>
      <c r="N22" s="127"/>
    </row>
    <row r="23" spans="2:14" ht="13.5" thickBot="1" thickTop="1">
      <c r="B23" s="192" t="s">
        <v>59</v>
      </c>
      <c r="C23" s="193"/>
      <c r="D23" s="193"/>
      <c r="E23" s="58">
        <f>K26/SQRT(1+E24)/100000</f>
        <v>63.90432377018681</v>
      </c>
      <c r="H23" s="202" t="s">
        <v>5</v>
      </c>
      <c r="I23" s="203"/>
      <c r="J23" s="203"/>
      <c r="K23" s="204"/>
      <c r="L23" s="127"/>
      <c r="M23" s="127"/>
      <c r="N23" s="127"/>
    </row>
    <row r="24" spans="2:11" ht="15.75" thickTop="1">
      <c r="B24" s="206" t="s">
        <v>41</v>
      </c>
      <c r="C24" s="209"/>
      <c r="D24" s="209"/>
      <c r="E24" s="59">
        <f>(K25*COS(E20/rho)^2)</f>
        <v>0.0029767308867839405</v>
      </c>
      <c r="H24" s="166" t="s">
        <v>25</v>
      </c>
      <c r="I24" s="167"/>
      <c r="J24" s="167"/>
      <c r="K24" s="61">
        <f>((J18^2-J19^2)/J18^2)</f>
        <v>0.006722670022333227</v>
      </c>
    </row>
    <row r="25" spans="8:11" ht="14.25">
      <c r="H25" s="168" t="s">
        <v>26</v>
      </c>
      <c r="I25" s="169"/>
      <c r="J25" s="169"/>
      <c r="K25" s="62">
        <f>(J18^2-J19^2)/J19^2</f>
        <v>0.006768170197224155</v>
      </c>
    </row>
    <row r="26" spans="2:11" ht="12.75">
      <c r="B26" s="172" t="s">
        <v>48</v>
      </c>
      <c r="C26" s="172"/>
      <c r="D26" s="172"/>
      <c r="E26" s="15" t="s">
        <v>60</v>
      </c>
      <c r="F26" s="29"/>
      <c r="G26" s="29"/>
      <c r="H26" s="168" t="s">
        <v>27</v>
      </c>
      <c r="I26" s="169"/>
      <c r="J26" s="169"/>
      <c r="K26" s="63">
        <f>J18^2/J19</f>
        <v>6399936.608108108</v>
      </c>
    </row>
    <row r="27" spans="2:11" ht="16.5">
      <c r="B27" s="16" t="s">
        <v>49</v>
      </c>
      <c r="C27" s="219">
        <f>-rho/(2*K21^2*E23^2)*TAN(E20/rho)*(1+E24)</f>
        <v>-0.007946992070342905</v>
      </c>
      <c r="D27" s="220"/>
      <c r="E27" s="34">
        <f>C13^2*C27</f>
        <v>-0.01278562343564814</v>
      </c>
      <c r="F27" s="5"/>
      <c r="G27" s="6"/>
      <c r="H27" s="177" t="s">
        <v>42</v>
      </c>
      <c r="I27" s="178"/>
      <c r="J27" s="13" t="s">
        <v>8</v>
      </c>
      <c r="K27" s="64">
        <f>K26/rho*(1-3/4*K25+45/64*K25^2-175/256*K25^3+11025/16384*K25^4)</f>
        <v>111136.53665648807</v>
      </c>
    </row>
    <row r="28" spans="2:11" ht="16.5">
      <c r="B28" s="16" t="s">
        <v>50</v>
      </c>
      <c r="C28" s="219">
        <f>rho/(24*K21^4*E23^4)*TAN(E20/rho)*(5+3*TAN(E20/rho)^2+6*E24*(1-TAN(E20/rho)^2))</f>
        <v>1.4265880238760604E-06</v>
      </c>
      <c r="D28" s="220"/>
      <c r="E28" s="32">
        <f>C13^4*C28</f>
        <v>3.6926388386483847E-06</v>
      </c>
      <c r="F28" s="35"/>
      <c r="G28" s="5"/>
      <c r="H28" s="179"/>
      <c r="I28" s="180"/>
      <c r="J28" s="14" t="s">
        <v>43</v>
      </c>
      <c r="K28" s="64">
        <f>rho*(3/8*$K$25-3/16*$K$25^2+213/2048*$K$25^3)</f>
        <v>0.14493007793132112</v>
      </c>
    </row>
    <row r="29" spans="2:11" ht="17.25" thickBot="1">
      <c r="B29" s="16" t="s">
        <v>51</v>
      </c>
      <c r="C29" s="194">
        <f>-rho/(720*K21^6*E23^6)*TAN(E20/rho)*(61+90*TAN(E20/rho)^2+45*TAN(E20/rho)^4)</f>
        <v>-3.286597494628909E-10</v>
      </c>
      <c r="D29" s="205"/>
      <c r="E29" s="38">
        <f>C13^6*C29</f>
        <v>-1.3686862646754354E-09</v>
      </c>
      <c r="F29" s="36"/>
      <c r="G29" s="5"/>
      <c r="H29" s="179"/>
      <c r="I29" s="180"/>
      <c r="J29" s="31" t="s">
        <v>44</v>
      </c>
      <c r="K29" s="64">
        <f>rho*(21/256*$K$25^2-21/256*$K$25^3)</f>
        <v>0.0002138430465965772</v>
      </c>
    </row>
    <row r="30" spans="2:11" ht="17.25" thickTop="1">
      <c r="B30" s="206" t="s">
        <v>61</v>
      </c>
      <c r="C30" s="207"/>
      <c r="D30" s="208"/>
      <c r="E30" s="33">
        <f>SUM(E27:E29)</f>
        <v>-0.012781932165495757</v>
      </c>
      <c r="F30" s="22"/>
      <c r="G30" s="5"/>
      <c r="H30" s="181"/>
      <c r="I30" s="182"/>
      <c r="J30" s="65" t="s">
        <v>45</v>
      </c>
      <c r="K30" s="64">
        <f>rho*(151/6144*$K$25^3)</f>
        <v>4.365783412074841E-07</v>
      </c>
    </row>
    <row r="31" spans="2:7" ht="12.75">
      <c r="B31" s="40"/>
      <c r="C31" s="41"/>
      <c r="D31" s="39" t="s">
        <v>16</v>
      </c>
      <c r="E31" s="45">
        <f>E20+E30</f>
        <v>48.44404784870904</v>
      </c>
      <c r="F31" s="8"/>
      <c r="G31" s="6"/>
    </row>
    <row r="32" spans="6:7" ht="12.75">
      <c r="F32" s="5"/>
      <c r="G32" s="5"/>
    </row>
    <row r="33" spans="2:12" ht="12.75">
      <c r="B33" s="172" t="s">
        <v>52</v>
      </c>
      <c r="C33" s="172"/>
      <c r="D33" s="172"/>
      <c r="E33" s="15" t="s">
        <v>62</v>
      </c>
      <c r="F33" s="5"/>
      <c r="G33" s="5"/>
      <c r="H33" s="155" t="s">
        <v>81</v>
      </c>
      <c r="I33" s="155"/>
      <c r="J33" s="155"/>
      <c r="K33" s="155"/>
      <c r="L33" s="155"/>
    </row>
    <row r="34" spans="2:12" ht="16.5">
      <c r="B34" s="16" t="s">
        <v>53</v>
      </c>
      <c r="C34" s="217">
        <f>rho/(K21*E23*COS(E20/rho))</f>
        <v>1.3524835456019777</v>
      </c>
      <c r="D34" s="218"/>
      <c r="E34" s="34">
        <f>C34*C13</f>
        <v>1.715503288906447</v>
      </c>
      <c r="F34" s="5"/>
      <c r="G34" s="5"/>
      <c r="H34" s="154" t="s">
        <v>82</v>
      </c>
      <c r="I34" s="154"/>
      <c r="J34" s="154"/>
      <c r="K34" s="154"/>
      <c r="L34" s="154"/>
    </row>
    <row r="35" spans="2:12" ht="16.5">
      <c r="B35" s="16" t="s">
        <v>54</v>
      </c>
      <c r="C35" s="194">
        <f>-rho/(6*K21^3*E23^3*COS(E20/rho))*(1+2*TAN(E20/rho)^2+E24)</f>
        <v>-0.00019612832566961443</v>
      </c>
      <c r="D35" s="205"/>
      <c r="E35" s="34">
        <f>C13^3*C35</f>
        <v>-0.00040023864111553737</v>
      </c>
      <c r="G35" s="5"/>
      <c r="H35" s="154"/>
      <c r="I35" s="154"/>
      <c r="J35" s="154"/>
      <c r="K35" s="154"/>
      <c r="L35" s="154"/>
    </row>
    <row r="36" spans="2:12" ht="17.25" thickBot="1">
      <c r="B36" s="16" t="s">
        <v>55</v>
      </c>
      <c r="C36" s="194">
        <f>rho/(120*K21^5*E23^5*COS(E20/rho))*(5+28*TAN(E20/rho)^2+24*TAN(E20/rho)^4)</f>
        <v>5.388018808217152E-08</v>
      </c>
      <c r="D36" s="205"/>
      <c r="E36" s="43">
        <f>C13^5*C36</f>
        <v>1.7689963112891213E-07</v>
      </c>
      <c r="H36" s="154"/>
      <c r="I36" s="154"/>
      <c r="J36" s="154"/>
      <c r="K36" s="154"/>
      <c r="L36" s="154"/>
    </row>
    <row r="37" spans="2:12" ht="13.5" thickTop="1">
      <c r="B37" s="206" t="s">
        <v>4</v>
      </c>
      <c r="C37" s="207"/>
      <c r="D37" s="208"/>
      <c r="E37" s="42">
        <f>SUM(E34:E36)</f>
        <v>1.7151032271649627</v>
      </c>
      <c r="H37" s="154"/>
      <c r="I37" s="154"/>
      <c r="J37" s="154"/>
      <c r="K37" s="154"/>
      <c r="L37" s="154"/>
    </row>
    <row r="38" spans="4:5" ht="12.75">
      <c r="D38" s="39" t="s">
        <v>17</v>
      </c>
      <c r="E38" s="44">
        <f>D15+E37</f>
        <v>13.715103227164963</v>
      </c>
    </row>
    <row r="54" spans="4:5" ht="12.75">
      <c r="D54" s="40"/>
      <c r="E54" s="47"/>
    </row>
  </sheetData>
  <sheetProtection/>
  <mergeCells count="29">
    <mergeCell ref="H17:K17"/>
    <mergeCell ref="B2:F2"/>
    <mergeCell ref="B3:F3"/>
    <mergeCell ref="B5:F7"/>
    <mergeCell ref="H10:K10"/>
    <mergeCell ref="H2:J2"/>
    <mergeCell ref="C34:D34"/>
    <mergeCell ref="B33:D33"/>
    <mergeCell ref="C27:D27"/>
    <mergeCell ref="C28:D28"/>
    <mergeCell ref="B22:E22"/>
    <mergeCell ref="B23:D23"/>
    <mergeCell ref="C29:D29"/>
    <mergeCell ref="B30:D30"/>
    <mergeCell ref="B26:D26"/>
    <mergeCell ref="B24:D24"/>
    <mergeCell ref="B37:D37"/>
    <mergeCell ref="B10:E10"/>
    <mergeCell ref="D11:D13"/>
    <mergeCell ref="D16:E16"/>
    <mergeCell ref="C36:D36"/>
    <mergeCell ref="C35:D35"/>
    <mergeCell ref="H33:L33"/>
    <mergeCell ref="H34:L37"/>
    <mergeCell ref="H27:I30"/>
    <mergeCell ref="H23:K23"/>
    <mergeCell ref="H24:J24"/>
    <mergeCell ref="H25:J25"/>
    <mergeCell ref="H26:J26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&amp;CEllipsoidische Koordinaten aus UTM Koordinaten &amp;R&amp;P / &amp;N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E10"/>
  <sheetViews>
    <sheetView zoomScalePageLayoutView="0" workbookViewId="0" topLeftCell="A1">
      <selection activeCell="G24" sqref="G24"/>
    </sheetView>
  </sheetViews>
  <sheetFormatPr defaultColWidth="11.421875" defaultRowHeight="12.75"/>
  <cols>
    <col min="3" max="3" width="15.421875" style="0" customWidth="1"/>
    <col min="4" max="4" width="15.00390625" style="0" customWidth="1"/>
  </cols>
  <sheetData>
    <row r="5" spans="3:5" ht="12.75">
      <c r="C5" t="s">
        <v>71</v>
      </c>
      <c r="D5" t="s">
        <v>72</v>
      </c>
      <c r="E5" t="s">
        <v>73</v>
      </c>
    </row>
    <row r="6" spans="2:5" ht="14.25">
      <c r="B6" t="s">
        <v>74</v>
      </c>
      <c r="C6" s="134">
        <v>6377397.155</v>
      </c>
      <c r="D6" s="135">
        <f>(C6*E6-C6)/E6</f>
        <v>6356078.962821752</v>
      </c>
      <c r="E6" s="134">
        <v>299.15281285</v>
      </c>
    </row>
    <row r="7" spans="2:5" ht="12.75">
      <c r="B7" t="s">
        <v>75</v>
      </c>
      <c r="C7" s="135">
        <v>6378245</v>
      </c>
      <c r="D7" s="135">
        <f>(C7*E7-C7)/E7</f>
        <v>6356863.018773047</v>
      </c>
      <c r="E7" s="135">
        <v>298.3</v>
      </c>
    </row>
    <row r="8" spans="2:5" ht="14.25">
      <c r="B8" t="s">
        <v>76</v>
      </c>
      <c r="C8" s="134">
        <v>6378137</v>
      </c>
      <c r="D8" s="135">
        <f>(C8*E8-C8)/E8</f>
        <v>6356752.314140356</v>
      </c>
      <c r="E8" s="134">
        <v>298.257222101</v>
      </c>
    </row>
    <row r="9" spans="2:5" ht="14.25">
      <c r="B9" t="s">
        <v>77</v>
      </c>
      <c r="C9" s="134">
        <v>6378388</v>
      </c>
      <c r="D9" s="135">
        <f>(C9*E9-C9)/E9</f>
        <v>6356911.9461279465</v>
      </c>
      <c r="E9" s="134">
        <v>297</v>
      </c>
    </row>
    <row r="10" spans="2:5" ht="14.25">
      <c r="B10" s="136" t="s">
        <v>78</v>
      </c>
      <c r="C10" s="134">
        <v>6378249.2</v>
      </c>
      <c r="D10" s="135">
        <f>(C10*E10-C10)/E10</f>
        <v>6356515.000000471</v>
      </c>
      <c r="E10" s="134">
        <v>293.4660213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2010-12-23T17:05:54Z</cp:lastPrinted>
  <dcterms:created xsi:type="dcterms:W3CDTF">2005-02-11T16:32:57Z</dcterms:created>
  <dcterms:modified xsi:type="dcterms:W3CDTF">2011-07-15T13:48:34Z</dcterms:modified>
  <cp:category/>
  <cp:version/>
  <cp:contentType/>
  <cp:contentStatus/>
</cp:coreProperties>
</file>